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8380" windowHeight="4980" tabRatio="786" firstSheet="2" activeTab="4"/>
  </bookViews>
  <sheets>
    <sheet name="СОДЕРЖАНИЕ" sheetId="5" r:id="rId1"/>
    <sheet name="КРЕПЛЕНИЯ" sheetId="4" r:id="rId2"/>
    <sheet name="Уличные" sheetId="11" r:id="rId3"/>
    <sheet name="Уличные (оптика)" sheetId="24" r:id="rId4"/>
    <sheet name="Промышленные" sheetId="25" r:id="rId5"/>
    <sheet name="Промышленные (оптика)" sheetId="27" r:id="rId6"/>
    <sheet name="Линейные LINER" sheetId="28" r:id="rId7"/>
    <sheet name="Линейные ORBIT" sheetId="30" r:id="rId8"/>
    <sheet name="Линейные SPIRE-R" sheetId="33" r:id="rId9"/>
    <sheet name="Линейные уличные SPIRE-S" sheetId="38" r:id="rId10"/>
    <sheet name="Офисные IP20 и IP54" sheetId="31" r:id="rId11"/>
    <sheet name="Низковольтные" sheetId="34" r:id="rId12"/>
    <sheet name="АЗС" sheetId="35" r:id="rId13"/>
    <sheet name="Светильники общего освещения" sheetId="36" r:id="rId14"/>
    <sheet name="Фитосветильники" sheetId="37" r:id="rId15"/>
  </sheets>
  <definedNames>
    <definedName name="Print_Area" localSheetId="0">СОДЕРЖАНИЕ!$A$1:$H$16</definedName>
    <definedName name="_xlnm.Print_Area" localSheetId="0">СОДЕРЖАНИЕ!$A$1:$H$16</definedName>
  </definedNames>
  <calcPr calcId="152511"/>
</workbook>
</file>

<file path=xl/calcChain.xml><?xml version="1.0" encoding="utf-8"?>
<calcChain xmlns="http://schemas.openxmlformats.org/spreadsheetml/2006/main">
  <c r="C34" i="28" l="1"/>
  <c r="C33" i="28"/>
  <c r="C32" i="28"/>
  <c r="C31" i="28"/>
  <c r="C30" i="28"/>
  <c r="C29" i="28"/>
  <c r="C28" i="28"/>
  <c r="C27" i="28"/>
  <c r="C26" i="28"/>
  <c r="C25" i="28"/>
  <c r="C19" i="28"/>
  <c r="C18" i="28"/>
  <c r="C17" i="28"/>
  <c r="C16" i="28"/>
  <c r="C15" i="28"/>
  <c r="C14" i="28"/>
  <c r="C13" i="28"/>
  <c r="C12" i="28"/>
  <c r="C11" i="28"/>
  <c r="C10" i="28"/>
  <c r="C9" i="28"/>
  <c r="C21" i="35" l="1"/>
  <c r="C20" i="35"/>
  <c r="C19" i="35"/>
  <c r="C18" i="35"/>
  <c r="C17" i="35"/>
  <c r="C16" i="35"/>
  <c r="C9" i="35"/>
  <c r="C8" i="35"/>
  <c r="C7" i="35"/>
  <c r="C10" i="35" l="1"/>
  <c r="C19" i="30" l="1"/>
  <c r="C41" i="34" l="1"/>
  <c r="C40" i="34"/>
  <c r="C39" i="34"/>
  <c r="C38" i="34"/>
  <c r="C37" i="34"/>
  <c r="C36" i="34"/>
  <c r="C35" i="34"/>
  <c r="C34" i="34"/>
  <c r="C33" i="34"/>
  <c r="C12" i="34"/>
  <c r="C11" i="34"/>
  <c r="C15" i="34"/>
  <c r="C14" i="34"/>
  <c r="C13" i="34"/>
  <c r="C10" i="34"/>
  <c r="C9" i="34"/>
  <c r="C8" i="34"/>
  <c r="C7" i="34"/>
  <c r="C24" i="27" l="1"/>
  <c r="C23" i="27"/>
  <c r="C22" i="27"/>
  <c r="C36" i="25"/>
  <c r="C35" i="25"/>
  <c r="C34" i="25"/>
  <c r="C33" i="25"/>
  <c r="C11" i="11"/>
  <c r="C31" i="27"/>
  <c r="C30" i="27"/>
  <c r="C29" i="27"/>
  <c r="C28" i="27"/>
  <c r="C27" i="27"/>
  <c r="C26" i="27"/>
  <c r="C25" i="27"/>
  <c r="C16" i="27"/>
  <c r="C15" i="27"/>
  <c r="C14" i="27"/>
  <c r="C13" i="27"/>
  <c r="C12" i="27"/>
  <c r="C11" i="27"/>
  <c r="C10" i="27"/>
  <c r="C9" i="27"/>
  <c r="C8" i="27"/>
  <c r="C7" i="27"/>
  <c r="C43" i="25"/>
  <c r="C42" i="25"/>
  <c r="C41" i="25"/>
  <c r="C40" i="25"/>
  <c r="C39" i="25"/>
  <c r="C38" i="25"/>
  <c r="C37" i="25"/>
  <c r="C26" i="25"/>
  <c r="C25" i="25"/>
  <c r="C24" i="25"/>
  <c r="C23" i="25"/>
  <c r="C22" i="25"/>
  <c r="C21" i="25"/>
  <c r="C20" i="25"/>
  <c r="C19" i="25"/>
  <c r="C18" i="25"/>
  <c r="C29" i="24" l="1"/>
  <c r="C28" i="24"/>
  <c r="C27" i="24"/>
  <c r="C26" i="24"/>
  <c r="C25" i="24"/>
  <c r="C24" i="24"/>
  <c r="C23" i="24"/>
  <c r="C22" i="24"/>
  <c r="C21" i="24"/>
  <c r="C14" i="24"/>
  <c r="C13" i="24"/>
  <c r="C12" i="24"/>
  <c r="C11" i="24"/>
  <c r="C10" i="24"/>
  <c r="C9" i="24"/>
  <c r="C8" i="24"/>
  <c r="C7" i="24"/>
  <c r="C43" i="11"/>
  <c r="C42" i="11"/>
  <c r="C41" i="11"/>
  <c r="C40" i="11"/>
  <c r="C39" i="11"/>
  <c r="C38" i="11"/>
  <c r="C37" i="11"/>
  <c r="C36" i="11"/>
  <c r="C35" i="11"/>
  <c r="C34" i="11"/>
  <c r="C33" i="11"/>
  <c r="C26" i="11"/>
  <c r="C25" i="11"/>
  <c r="C24" i="11"/>
  <c r="C23" i="11"/>
  <c r="C22" i="11"/>
  <c r="C21" i="11"/>
  <c r="C20" i="11"/>
  <c r="C19" i="11"/>
  <c r="C18" i="11"/>
  <c r="C10" i="11"/>
  <c r="C10" i="25" l="1"/>
  <c r="C26" i="34" l="1"/>
  <c r="C25" i="34"/>
  <c r="C24" i="34"/>
  <c r="C23" i="34"/>
  <c r="C22" i="34"/>
  <c r="C21" i="34"/>
  <c r="C32" i="25"/>
  <c r="C9" i="25"/>
  <c r="C20" i="24"/>
  <c r="C32" i="11"/>
  <c r="C9" i="11"/>
  <c r="C12" i="25" l="1"/>
  <c r="C11" i="25"/>
  <c r="C8" i="25"/>
  <c r="C7" i="25"/>
  <c r="C12" i="11" l="1"/>
  <c r="C8" i="11"/>
  <c r="C7" i="11"/>
  <c r="C18" i="30" l="1"/>
  <c r="C17" i="30"/>
  <c r="C16" i="30"/>
  <c r="C15" i="30"/>
  <c r="C14" i="30"/>
  <c r="C13" i="30"/>
  <c r="C12" i="30"/>
  <c r="C11" i="30"/>
  <c r="C10" i="30"/>
  <c r="C9" i="30"/>
  <c r="C8" i="30"/>
  <c r="C9" i="36" l="1"/>
  <c r="C8" i="36"/>
  <c r="C7" i="36"/>
  <c r="C24" i="31" l="1"/>
  <c r="C23" i="31"/>
  <c r="C22" i="31"/>
  <c r="C21" i="31"/>
  <c r="C20" i="31"/>
  <c r="C19" i="31"/>
  <c r="C8" i="31"/>
  <c r="C9" i="31"/>
  <c r="C10" i="31"/>
  <c r="C11" i="31"/>
  <c r="C12" i="31"/>
  <c r="C13" i="31"/>
  <c r="C12" i="38" l="1"/>
  <c r="C13" i="38"/>
  <c r="C15" i="38"/>
  <c r="C16" i="38"/>
  <c r="C17" i="38"/>
  <c r="C18" i="38"/>
  <c r="C19" i="38"/>
  <c r="C20" i="38"/>
  <c r="C14" i="38"/>
  <c r="C11" i="38"/>
  <c r="C10" i="38"/>
  <c r="C9" i="38"/>
  <c r="C8" i="38"/>
  <c r="C7" i="38"/>
  <c r="C22" i="33" l="1"/>
  <c r="C21" i="33"/>
  <c r="C20" i="33"/>
  <c r="C26" i="33"/>
  <c r="C25" i="33"/>
  <c r="C24" i="33"/>
  <c r="C23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C7" i="33"/>
</calcChain>
</file>

<file path=xl/sharedStrings.xml><?xml version="1.0" encoding="utf-8"?>
<sst xmlns="http://schemas.openxmlformats.org/spreadsheetml/2006/main" count="472" uniqueCount="297">
  <si>
    <t>Кронштейны поворотный для установки светильника на стену и потолок (комплект 2 шт.)</t>
  </si>
  <si>
    <t>Тросик для подвеса светильника длинной 2 метра (комплект 2 шт.)</t>
  </si>
  <si>
    <t>Рым-гайка с карабином для подвесного крепления (комплект 2 шт.)</t>
  </si>
  <si>
    <t>Соеденительный элемент прямой</t>
  </si>
  <si>
    <t>Соеденительный элемент Т-образный</t>
  </si>
  <si>
    <t>Соеденительный элемент Х-образный</t>
  </si>
  <si>
    <t>Скоба повортная</t>
  </si>
  <si>
    <t xml:space="preserve">Консоль нерегулируемая </t>
  </si>
  <si>
    <t xml:space="preserve">Консоль регулируемая </t>
  </si>
  <si>
    <t>Содержание:</t>
  </si>
  <si>
    <t>Светильники общего освещения</t>
  </si>
  <si>
    <t>№ п/п</t>
  </si>
  <si>
    <t>Технические характеристики</t>
  </si>
  <si>
    <t>Общие данные для всех моделей:</t>
  </si>
  <si>
    <t>SV-GNS-90</t>
  </si>
  <si>
    <t>Наименование</t>
  </si>
  <si>
    <r>
      <t xml:space="preserve">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>176-264B AC/250-370В DC</t>
    </r>
    <r>
      <rPr>
        <sz val="10"/>
        <color theme="1"/>
        <rFont val="Calibri"/>
        <family val="2"/>
        <charset val="204"/>
        <scheme val="minor"/>
      </rPr>
      <t xml:space="preserve"> / Предельный 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>150-280B AC/250-394B DC</t>
    </r>
    <r>
      <rPr>
        <sz val="10"/>
        <color theme="1"/>
        <rFont val="Calibri"/>
        <family val="2"/>
        <charset val="204"/>
        <scheme val="minor"/>
      </rPr>
      <t xml:space="preserve"> / Температура эксплуатации </t>
    </r>
    <r>
      <rPr>
        <b/>
        <sz val="10"/>
        <color theme="1"/>
        <rFont val="Calibri"/>
        <family val="2"/>
        <charset val="204"/>
        <scheme val="minor"/>
      </rPr>
      <t>-50 +50</t>
    </r>
    <r>
      <rPr>
        <sz val="10"/>
        <color theme="1"/>
        <rFont val="Calibri"/>
        <family val="2"/>
        <charset val="204"/>
        <scheme val="minor"/>
      </rPr>
      <t xml:space="preserve"> / Коэффициент пульсации </t>
    </r>
    <r>
      <rPr>
        <b/>
        <sz val="10"/>
        <color theme="1"/>
        <rFont val="Calibri"/>
        <family val="2"/>
        <charset val="204"/>
        <scheme val="minor"/>
      </rPr>
      <t xml:space="preserve">&lt;1% </t>
    </r>
    <r>
      <rPr>
        <sz val="10"/>
        <color theme="1"/>
        <rFont val="Calibri"/>
        <family val="2"/>
        <charset val="204"/>
        <scheme val="minor"/>
      </rPr>
      <t>/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 xml:space="preserve">Коэффициент мощности источника питания светильника </t>
    </r>
    <r>
      <rPr>
        <b/>
        <sz val="10"/>
        <color theme="1"/>
        <rFont val="Calibri"/>
        <family val="2"/>
        <charset val="204"/>
        <scheme val="minor"/>
      </rPr>
      <t>0,98</t>
    </r>
    <r>
      <rPr>
        <sz val="10"/>
        <color theme="1"/>
        <rFont val="Calibri"/>
        <family val="2"/>
        <charset val="204"/>
        <scheme val="minor"/>
      </rPr>
      <t xml:space="preserve"> / Тип КСС </t>
    </r>
    <r>
      <rPr>
        <b/>
        <sz val="10"/>
        <color theme="1"/>
        <rFont val="Calibri"/>
        <family val="2"/>
        <charset val="204"/>
        <scheme val="minor"/>
      </rPr>
      <t>К</t>
    </r>
    <r>
      <rPr>
        <sz val="10"/>
        <color theme="1"/>
        <rFont val="Calibri"/>
        <family val="2"/>
        <charset val="204"/>
        <scheme val="minor"/>
      </rPr>
      <t xml:space="preserve"> (</t>
    </r>
    <r>
      <rPr>
        <b/>
        <sz val="10"/>
        <color theme="1"/>
        <rFont val="Calibri"/>
        <family val="2"/>
        <charset val="204"/>
        <scheme val="minor"/>
      </rPr>
      <t xml:space="preserve">25°), Г (40°, 60°, 80°), Ш (135*60°), Л (135*85°) </t>
    </r>
    <r>
      <rPr>
        <sz val="10"/>
        <color theme="1"/>
        <rFont val="Calibri"/>
        <family val="2"/>
        <charset val="204"/>
        <scheme val="minor"/>
      </rPr>
      <t>/ Степень защиты</t>
    </r>
    <r>
      <rPr>
        <b/>
        <sz val="10"/>
        <color theme="1"/>
        <rFont val="Calibri"/>
        <family val="2"/>
        <charset val="204"/>
        <scheme val="minor"/>
      </rPr>
      <t xml:space="preserve"> IP66</t>
    </r>
    <r>
      <rPr>
        <sz val="10"/>
        <color theme="1"/>
        <rFont val="Calibri"/>
        <family val="2"/>
        <charset val="204"/>
        <scheme val="minor"/>
      </rPr>
      <t xml:space="preserve"> / Клапан выравнивания давления / Цветовая температура </t>
    </r>
    <r>
      <rPr>
        <b/>
        <sz val="10"/>
        <color theme="1"/>
        <rFont val="Calibri"/>
        <family val="2"/>
        <charset val="204"/>
        <scheme val="minor"/>
      </rPr>
      <t>3000/4000/5000 К</t>
    </r>
    <r>
      <rPr>
        <sz val="10"/>
        <color theme="1"/>
        <rFont val="Calibri"/>
        <family val="2"/>
        <charset val="204"/>
        <scheme val="minor"/>
      </rPr>
      <t xml:space="preserve"> / Светодиоды </t>
    </r>
    <r>
      <rPr>
        <b/>
        <sz val="10"/>
        <color theme="1"/>
        <rFont val="Calibri"/>
        <family val="2"/>
        <charset val="204"/>
        <scheme val="minor"/>
      </rPr>
      <t>SAMSUNG</t>
    </r>
    <r>
      <rPr>
        <sz val="10"/>
        <color theme="1"/>
        <rFont val="Calibri"/>
        <family val="2"/>
        <charset val="204"/>
        <scheme val="minor"/>
      </rPr>
      <t xml:space="preserve"> / Гарантия </t>
    </r>
    <r>
      <rPr>
        <b/>
        <sz val="10"/>
        <color theme="1"/>
        <rFont val="Calibri"/>
        <family val="2"/>
        <charset val="204"/>
        <scheme val="minor"/>
      </rPr>
      <t>60 мес.</t>
    </r>
  </si>
  <si>
    <r>
      <t xml:space="preserve">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>176-264B AC/250-370В DC</t>
    </r>
    <r>
      <rPr>
        <sz val="10"/>
        <color theme="1"/>
        <rFont val="Calibri"/>
        <family val="2"/>
        <charset val="204"/>
        <scheme val="minor"/>
      </rPr>
      <t xml:space="preserve"> / Предельный 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>150-280B AC/250-394B DC</t>
    </r>
    <r>
      <rPr>
        <sz val="10"/>
        <color theme="1"/>
        <rFont val="Calibri"/>
        <family val="2"/>
        <charset val="204"/>
        <scheme val="minor"/>
      </rPr>
      <t xml:space="preserve"> / Температура эксплуатации </t>
    </r>
    <r>
      <rPr>
        <b/>
        <sz val="10"/>
        <color theme="1"/>
        <rFont val="Calibri"/>
        <family val="2"/>
        <charset val="204"/>
        <scheme val="minor"/>
      </rPr>
      <t>-50 +50</t>
    </r>
    <r>
      <rPr>
        <sz val="10"/>
        <color theme="1"/>
        <rFont val="Calibri"/>
        <family val="2"/>
        <charset val="204"/>
        <scheme val="minor"/>
      </rPr>
      <t xml:space="preserve"> / Коэффициент пульсации </t>
    </r>
    <r>
      <rPr>
        <b/>
        <sz val="10"/>
        <color theme="1"/>
        <rFont val="Calibri"/>
        <family val="2"/>
        <charset val="204"/>
        <scheme val="minor"/>
      </rPr>
      <t xml:space="preserve">&lt;1% </t>
    </r>
    <r>
      <rPr>
        <sz val="10"/>
        <color theme="1"/>
        <rFont val="Calibri"/>
        <family val="2"/>
        <charset val="204"/>
        <scheme val="minor"/>
      </rPr>
      <t>/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 xml:space="preserve">Коэффициент мощности источника питания светильника </t>
    </r>
    <r>
      <rPr>
        <b/>
        <sz val="10"/>
        <color theme="1"/>
        <rFont val="Calibri"/>
        <family val="2"/>
        <charset val="204"/>
        <scheme val="minor"/>
      </rPr>
      <t>0,98</t>
    </r>
    <r>
      <rPr>
        <sz val="10"/>
        <color theme="1"/>
        <rFont val="Calibri"/>
        <family val="2"/>
        <charset val="204"/>
        <scheme val="minor"/>
      </rPr>
      <t xml:space="preserve"> / Тип КСС </t>
    </r>
    <r>
      <rPr>
        <b/>
        <sz val="10"/>
        <color theme="1"/>
        <rFont val="Calibri"/>
        <family val="2"/>
        <charset val="204"/>
        <scheme val="minor"/>
      </rPr>
      <t>К (25°), Г (40°, 60°, 80°), Ш (135*60°), Л (135*85°)</t>
    </r>
    <r>
      <rPr>
        <sz val="10"/>
        <color theme="1"/>
        <rFont val="Calibri"/>
        <family val="2"/>
        <charset val="204"/>
        <scheme val="minor"/>
      </rPr>
      <t xml:space="preserve"> / Степень защиты</t>
    </r>
    <r>
      <rPr>
        <b/>
        <sz val="10"/>
        <color theme="1"/>
        <rFont val="Calibri"/>
        <family val="2"/>
        <charset val="204"/>
        <scheme val="minor"/>
      </rPr>
      <t xml:space="preserve"> IP66</t>
    </r>
    <r>
      <rPr>
        <sz val="10"/>
        <color theme="1"/>
        <rFont val="Calibri"/>
        <family val="2"/>
        <charset val="204"/>
        <scheme val="minor"/>
      </rPr>
      <t xml:space="preserve"> / Клапан выравнивания давления / Цветовая температура </t>
    </r>
    <r>
      <rPr>
        <b/>
        <sz val="10"/>
        <color theme="1"/>
        <rFont val="Calibri"/>
        <family val="2"/>
        <charset val="204"/>
        <scheme val="minor"/>
      </rPr>
      <t>3000/4000/5000 К</t>
    </r>
    <r>
      <rPr>
        <sz val="10"/>
        <color theme="1"/>
        <rFont val="Calibri"/>
        <family val="2"/>
        <charset val="204"/>
        <scheme val="minor"/>
      </rPr>
      <t xml:space="preserve"> / Светодиоды</t>
    </r>
    <r>
      <rPr>
        <b/>
        <sz val="10"/>
        <color theme="1"/>
        <rFont val="Calibri"/>
        <family val="2"/>
        <charset val="204"/>
        <scheme val="minor"/>
      </rPr>
      <t xml:space="preserve"> SAMSUNG</t>
    </r>
    <r>
      <rPr>
        <sz val="10"/>
        <color theme="1"/>
        <rFont val="Calibri"/>
        <family val="2"/>
        <charset val="204"/>
        <scheme val="minor"/>
      </rPr>
      <t xml:space="preserve"> / Гарантия </t>
    </r>
    <r>
      <rPr>
        <b/>
        <sz val="10"/>
        <color theme="1"/>
        <rFont val="Calibri"/>
        <family val="2"/>
        <charset val="204"/>
        <scheme val="minor"/>
      </rPr>
      <t>60 мес.</t>
    </r>
  </si>
  <si>
    <r>
      <t xml:space="preserve">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>176-264B AC/250-370В DC</t>
    </r>
    <r>
      <rPr>
        <sz val="10"/>
        <color theme="1"/>
        <rFont val="Calibri"/>
        <family val="2"/>
        <charset val="204"/>
        <scheme val="minor"/>
      </rPr>
      <t xml:space="preserve"> / Предельный 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>150-280B AC/250-394B DC</t>
    </r>
    <r>
      <rPr>
        <sz val="10"/>
        <color theme="1"/>
        <rFont val="Calibri"/>
        <family val="2"/>
        <charset val="204"/>
        <scheme val="minor"/>
      </rPr>
      <t xml:space="preserve"> / Температура эксплуатации </t>
    </r>
    <r>
      <rPr>
        <b/>
        <sz val="10"/>
        <color theme="1"/>
        <rFont val="Calibri"/>
        <family val="2"/>
        <charset val="204"/>
        <scheme val="minor"/>
      </rPr>
      <t>-50 +50</t>
    </r>
    <r>
      <rPr>
        <sz val="10"/>
        <color theme="1"/>
        <rFont val="Calibri"/>
        <family val="2"/>
        <charset val="204"/>
        <scheme val="minor"/>
      </rPr>
      <t xml:space="preserve"> / Коэффициент пульсации </t>
    </r>
    <r>
      <rPr>
        <b/>
        <sz val="10"/>
        <color theme="1"/>
        <rFont val="Calibri"/>
        <family val="2"/>
        <charset val="204"/>
        <scheme val="minor"/>
      </rPr>
      <t xml:space="preserve">&lt;1% </t>
    </r>
    <r>
      <rPr>
        <sz val="10"/>
        <color theme="1"/>
        <rFont val="Calibri"/>
        <family val="2"/>
        <charset val="204"/>
        <scheme val="minor"/>
      </rPr>
      <t>/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 xml:space="preserve">Коэффициент мощности источника питания светильника </t>
    </r>
    <r>
      <rPr>
        <b/>
        <sz val="10"/>
        <color theme="1"/>
        <rFont val="Calibri"/>
        <family val="2"/>
        <charset val="204"/>
        <scheme val="minor"/>
      </rPr>
      <t>0,98</t>
    </r>
    <r>
      <rPr>
        <sz val="10"/>
        <color theme="1"/>
        <rFont val="Calibri"/>
        <family val="2"/>
        <charset val="204"/>
        <scheme val="minor"/>
      </rPr>
      <t xml:space="preserve"> / Тип КСС </t>
    </r>
    <r>
      <rPr>
        <b/>
        <sz val="10"/>
        <color theme="1"/>
        <rFont val="Calibri"/>
        <family val="2"/>
        <charset val="204"/>
        <scheme val="minor"/>
      </rPr>
      <t>К</t>
    </r>
    <r>
      <rPr>
        <sz val="10"/>
        <color theme="1"/>
        <rFont val="Calibri"/>
        <family val="2"/>
        <charset val="204"/>
        <scheme val="minor"/>
      </rPr>
      <t xml:space="preserve"> (</t>
    </r>
    <r>
      <rPr>
        <b/>
        <sz val="10"/>
        <color theme="1"/>
        <rFont val="Calibri"/>
        <family val="2"/>
        <charset val="204"/>
        <scheme val="minor"/>
      </rPr>
      <t xml:space="preserve">25°), Г (40°, 60°, 80°), Ш (135*60°), Л (135*85°) </t>
    </r>
    <r>
      <rPr>
        <sz val="10"/>
        <color theme="1"/>
        <rFont val="Calibri"/>
        <family val="2"/>
        <charset val="204"/>
        <scheme val="minor"/>
      </rPr>
      <t>/ Степень защиты</t>
    </r>
    <r>
      <rPr>
        <b/>
        <sz val="10"/>
        <color theme="1"/>
        <rFont val="Calibri"/>
        <family val="2"/>
        <charset val="204"/>
        <scheme val="minor"/>
      </rPr>
      <t xml:space="preserve"> IP66</t>
    </r>
    <r>
      <rPr>
        <sz val="10"/>
        <color theme="1"/>
        <rFont val="Calibri"/>
        <family val="2"/>
        <charset val="204"/>
        <scheme val="minor"/>
      </rPr>
      <t xml:space="preserve"> / Цветовая температура </t>
    </r>
    <r>
      <rPr>
        <b/>
        <sz val="10"/>
        <color theme="1"/>
        <rFont val="Calibri"/>
        <family val="2"/>
        <charset val="204"/>
        <scheme val="minor"/>
      </rPr>
      <t>3000/4000/5000 К</t>
    </r>
    <r>
      <rPr>
        <sz val="10"/>
        <color theme="1"/>
        <rFont val="Calibri"/>
        <family val="2"/>
        <charset val="204"/>
        <scheme val="minor"/>
      </rPr>
      <t xml:space="preserve"> / Светодиоды </t>
    </r>
    <r>
      <rPr>
        <b/>
        <sz val="10"/>
        <color theme="1"/>
        <rFont val="Calibri"/>
        <family val="2"/>
        <charset val="204"/>
        <scheme val="minor"/>
      </rPr>
      <t>SAMSUNG</t>
    </r>
    <r>
      <rPr>
        <sz val="10"/>
        <color theme="1"/>
        <rFont val="Calibri"/>
        <family val="2"/>
        <charset val="204"/>
        <scheme val="minor"/>
      </rPr>
      <t xml:space="preserve"> / Гарантия </t>
    </r>
    <r>
      <rPr>
        <b/>
        <sz val="10"/>
        <color theme="1"/>
        <rFont val="Calibri"/>
        <family val="2"/>
        <charset val="204"/>
        <scheme val="minor"/>
      </rPr>
      <t>60 мес.</t>
    </r>
  </si>
  <si>
    <r>
      <t xml:space="preserve">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>176-264B AC/250-370В DC</t>
    </r>
    <r>
      <rPr>
        <sz val="10"/>
        <color theme="1"/>
        <rFont val="Calibri"/>
        <family val="2"/>
        <charset val="204"/>
        <scheme val="minor"/>
      </rPr>
      <t xml:space="preserve"> / Предельный 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>150-280B AC/250-394B DC</t>
    </r>
    <r>
      <rPr>
        <sz val="10"/>
        <color theme="1"/>
        <rFont val="Calibri"/>
        <family val="2"/>
        <charset val="204"/>
        <scheme val="minor"/>
      </rPr>
      <t xml:space="preserve"> / Температура эксплуатации </t>
    </r>
    <r>
      <rPr>
        <b/>
        <sz val="10"/>
        <color theme="1"/>
        <rFont val="Calibri"/>
        <family val="2"/>
        <charset val="204"/>
        <scheme val="minor"/>
      </rPr>
      <t>-50 +50</t>
    </r>
    <r>
      <rPr>
        <sz val="10"/>
        <color theme="1"/>
        <rFont val="Calibri"/>
        <family val="2"/>
        <charset val="204"/>
        <scheme val="minor"/>
      </rPr>
      <t xml:space="preserve"> / Коэффициент пульсации </t>
    </r>
    <r>
      <rPr>
        <b/>
        <sz val="10"/>
        <color theme="1"/>
        <rFont val="Calibri"/>
        <family val="2"/>
        <charset val="204"/>
        <scheme val="minor"/>
      </rPr>
      <t xml:space="preserve">&lt;1% </t>
    </r>
    <r>
      <rPr>
        <sz val="10"/>
        <color theme="1"/>
        <rFont val="Calibri"/>
        <family val="2"/>
        <charset val="204"/>
        <scheme val="minor"/>
      </rPr>
      <t>/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 xml:space="preserve">Коэффициент мощности источника питания светильника </t>
    </r>
    <r>
      <rPr>
        <b/>
        <sz val="10"/>
        <color theme="1"/>
        <rFont val="Calibri"/>
        <family val="2"/>
        <charset val="204"/>
        <scheme val="minor"/>
      </rPr>
      <t>0,98</t>
    </r>
    <r>
      <rPr>
        <sz val="10"/>
        <color theme="1"/>
        <rFont val="Calibri"/>
        <family val="2"/>
        <charset val="204"/>
        <scheme val="minor"/>
      </rPr>
      <t xml:space="preserve"> / Тип КСС </t>
    </r>
    <r>
      <rPr>
        <b/>
        <sz val="10"/>
        <color theme="1"/>
        <rFont val="Calibri"/>
        <family val="2"/>
        <charset val="204"/>
        <scheme val="minor"/>
      </rPr>
      <t>К (25°), Г (40°, 60°, 80°), Ш (135*60°), Л (135*85°)</t>
    </r>
    <r>
      <rPr>
        <sz val="10"/>
        <color theme="1"/>
        <rFont val="Calibri"/>
        <family val="2"/>
        <charset val="204"/>
        <scheme val="minor"/>
      </rPr>
      <t xml:space="preserve"> / Степень защиты</t>
    </r>
    <r>
      <rPr>
        <b/>
        <sz val="10"/>
        <color theme="1"/>
        <rFont val="Calibri"/>
        <family val="2"/>
        <charset val="204"/>
        <scheme val="minor"/>
      </rPr>
      <t xml:space="preserve"> IP66</t>
    </r>
    <r>
      <rPr>
        <sz val="10"/>
        <color theme="1"/>
        <rFont val="Calibri"/>
        <family val="2"/>
        <charset val="204"/>
        <scheme val="minor"/>
      </rPr>
      <t xml:space="preserve"> / Цветовая температура </t>
    </r>
    <r>
      <rPr>
        <b/>
        <sz val="10"/>
        <color theme="1"/>
        <rFont val="Calibri"/>
        <family val="2"/>
        <charset val="204"/>
        <scheme val="minor"/>
      </rPr>
      <t>3000/4000/5000 К</t>
    </r>
    <r>
      <rPr>
        <sz val="10"/>
        <color theme="1"/>
        <rFont val="Calibri"/>
        <family val="2"/>
        <charset val="204"/>
        <scheme val="minor"/>
      </rPr>
      <t xml:space="preserve"> / Светодиоды</t>
    </r>
    <r>
      <rPr>
        <b/>
        <sz val="10"/>
        <color theme="1"/>
        <rFont val="Calibri"/>
        <family val="2"/>
        <charset val="204"/>
        <scheme val="minor"/>
      </rPr>
      <t xml:space="preserve"> SAMSUNG</t>
    </r>
    <r>
      <rPr>
        <sz val="10"/>
        <color theme="1"/>
        <rFont val="Calibri"/>
        <family val="2"/>
        <charset val="204"/>
        <scheme val="minor"/>
      </rPr>
      <t xml:space="preserve"> / Гарантия </t>
    </r>
    <r>
      <rPr>
        <b/>
        <sz val="10"/>
        <color theme="1"/>
        <rFont val="Calibri"/>
        <family val="2"/>
        <charset val="204"/>
        <scheme val="minor"/>
      </rPr>
      <t>60 мес.</t>
    </r>
  </si>
  <si>
    <t>Потребление: от сети - 65 Вт.
Количество ФАР, высота подвеса 1 метр (µMol/м2/s): 12,88
Световой поток: 1570 Лм.
Световой поток с учетом потерь на оптике: 1500 Лм.
Количество светодиодов: 56 шт.
Габаритные размеры (ДхШхВ): 1640х66х70 мм.
Масса: 2,5 кг.</t>
  </si>
  <si>
    <t>Потребление: от сети - 50 Вт.
Количество ФАР, высота подвеса 1 метр (µMol/м2/s): 9,66
Световой поток: 1180 Лм.
Световой поток с учетом потерь на оптике: 1130 Лм.
Количество светодиодов: 42 шт.
Габаритные размеры (ДхШхВ): 1240х66х70 мм.
Масса: 1,8 кг.</t>
  </si>
  <si>
    <t>Потребление: от сети - 35 Вт.
Количество ФАР, высота подвеса 1 метр (µMol/м2/s): 6,44
Световой поток: 784 Лм.
Световой поток с учетом потерь на оптике: 752 Лм.
Количество светодиодов: 28 шт.
Габаритные размеры (ДхШхВ): 840х66х70 мм.
Масса: 0,9 кг.</t>
  </si>
  <si>
    <t>КРЕПЛЕНИЯ ДЛЯ СВЕТИЛЬНИКОВ</t>
  </si>
  <si>
    <t>Крепления</t>
  </si>
  <si>
    <t>Офисные светильники IP20 / IP54</t>
  </si>
  <si>
    <t>Низковольтные светильники промышленные и линейные</t>
  </si>
  <si>
    <t>Светильники для растений FITO</t>
  </si>
  <si>
    <t>Линейные светильники ORBIT</t>
  </si>
  <si>
    <t>Уличные светодиодные светильники для АЗС</t>
  </si>
  <si>
    <t>SV-SPIRE-R-18-930</t>
  </si>
  <si>
    <t>SV-SPIRE-S-18-930</t>
  </si>
  <si>
    <t>Промышленные светильники (оптика)</t>
  </si>
  <si>
    <t>Промышленные светильники</t>
  </si>
  <si>
    <t>Уличные светильники (оптика)</t>
  </si>
  <si>
    <t>Уличные светильники</t>
  </si>
  <si>
    <r>
      <t xml:space="preserve">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>176-264B AC/250-370В DC</t>
    </r>
    <r>
      <rPr>
        <sz val="10"/>
        <color theme="1"/>
        <rFont val="Calibri"/>
        <family val="2"/>
        <charset val="204"/>
        <scheme val="minor"/>
      </rPr>
      <t xml:space="preserve"> / Предельный 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>150-280B AC/250-394B DC</t>
    </r>
    <r>
      <rPr>
        <sz val="10"/>
        <color theme="1"/>
        <rFont val="Calibri"/>
        <family val="2"/>
        <charset val="204"/>
        <scheme val="minor"/>
      </rPr>
      <t xml:space="preserve"> / Температура эксплуатации </t>
    </r>
    <r>
      <rPr>
        <b/>
        <sz val="10"/>
        <color theme="1"/>
        <rFont val="Calibri"/>
        <family val="2"/>
        <charset val="204"/>
        <scheme val="minor"/>
      </rPr>
      <t>-40 +40</t>
    </r>
    <r>
      <rPr>
        <sz val="10"/>
        <color theme="1"/>
        <rFont val="Calibri"/>
        <family val="2"/>
        <charset val="204"/>
        <scheme val="minor"/>
      </rPr>
      <t xml:space="preserve"> / Коэффициент пульсации </t>
    </r>
    <r>
      <rPr>
        <b/>
        <sz val="10"/>
        <color theme="1"/>
        <rFont val="Calibri"/>
        <family val="2"/>
        <charset val="204"/>
        <scheme val="minor"/>
      </rPr>
      <t xml:space="preserve">&lt;1% </t>
    </r>
    <r>
      <rPr>
        <sz val="10"/>
        <color theme="1"/>
        <rFont val="Calibri"/>
        <family val="2"/>
        <charset val="204"/>
        <scheme val="minor"/>
      </rPr>
      <t>/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 xml:space="preserve">Коэффициент мощности источника питания светильника </t>
    </r>
    <r>
      <rPr>
        <b/>
        <sz val="10"/>
        <color theme="1"/>
        <rFont val="Calibri"/>
        <family val="2"/>
        <charset val="204"/>
        <scheme val="minor"/>
      </rPr>
      <t>0,98</t>
    </r>
    <r>
      <rPr>
        <sz val="10"/>
        <color theme="1"/>
        <rFont val="Calibri"/>
        <family val="2"/>
        <charset val="204"/>
        <scheme val="minor"/>
      </rPr>
      <t xml:space="preserve"> / Тип КСС </t>
    </r>
    <r>
      <rPr>
        <b/>
        <sz val="10"/>
        <color theme="1"/>
        <rFont val="Calibri"/>
        <family val="2"/>
        <charset val="204"/>
        <scheme val="minor"/>
      </rPr>
      <t xml:space="preserve">Д (130°) </t>
    </r>
    <r>
      <rPr>
        <sz val="10"/>
        <color theme="1"/>
        <rFont val="Calibri"/>
        <family val="2"/>
        <charset val="204"/>
        <scheme val="minor"/>
      </rPr>
      <t>/ Степень защиты</t>
    </r>
    <r>
      <rPr>
        <b/>
        <sz val="10"/>
        <color theme="1"/>
        <rFont val="Calibri"/>
        <family val="2"/>
        <charset val="204"/>
        <scheme val="minor"/>
      </rPr>
      <t xml:space="preserve"> IP54</t>
    </r>
    <r>
      <rPr>
        <sz val="10"/>
        <color theme="1"/>
        <rFont val="Calibri"/>
        <family val="2"/>
        <charset val="204"/>
        <scheme val="minor"/>
      </rPr>
      <t xml:space="preserve"> / Цветовая температура </t>
    </r>
    <r>
      <rPr>
        <b/>
        <sz val="10"/>
        <color theme="1"/>
        <rFont val="Calibri"/>
        <family val="2"/>
        <charset val="204"/>
        <scheme val="minor"/>
      </rPr>
      <t>3000/4000/5000 К</t>
    </r>
    <r>
      <rPr>
        <sz val="10"/>
        <color theme="1"/>
        <rFont val="Calibri"/>
        <family val="2"/>
        <charset val="204"/>
        <scheme val="minor"/>
      </rPr>
      <t xml:space="preserve"> / Светодиоды </t>
    </r>
    <r>
      <rPr>
        <b/>
        <sz val="10"/>
        <color theme="1"/>
        <rFont val="Calibri"/>
        <family val="2"/>
        <charset val="204"/>
        <scheme val="minor"/>
      </rPr>
      <t>SAMSUNG</t>
    </r>
    <r>
      <rPr>
        <sz val="10"/>
        <color theme="1"/>
        <rFont val="Calibri"/>
        <family val="2"/>
        <charset val="204"/>
        <scheme val="minor"/>
      </rPr>
      <t xml:space="preserve"> / Гарантия </t>
    </r>
    <r>
      <rPr>
        <b/>
        <sz val="10"/>
        <color theme="1"/>
        <rFont val="Calibri"/>
        <family val="2"/>
        <charset val="204"/>
        <scheme val="minor"/>
      </rPr>
      <t>60 мес.</t>
    </r>
  </si>
  <si>
    <t>Цена, с НДС</t>
  </si>
  <si>
    <t>Изображение</t>
  </si>
  <si>
    <t>Линейные уличные светильники SPIRE-S</t>
  </si>
  <si>
    <t>Линейные светильники SPIRE-R</t>
  </si>
  <si>
    <t>Линейные светильники LINER</t>
  </si>
  <si>
    <r>
      <t xml:space="preserve">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 xml:space="preserve">140-265B AC </t>
    </r>
    <r>
      <rPr>
        <sz val="10"/>
        <color theme="1"/>
        <rFont val="Calibri"/>
        <family val="2"/>
        <charset val="204"/>
        <scheme val="minor"/>
      </rPr>
      <t xml:space="preserve">/ Температура эксплуатации </t>
    </r>
    <r>
      <rPr>
        <b/>
        <sz val="10"/>
        <color theme="1"/>
        <rFont val="Calibri"/>
        <family val="2"/>
        <charset val="204"/>
        <scheme val="minor"/>
      </rPr>
      <t>-50 +50</t>
    </r>
    <r>
      <rPr>
        <sz val="10"/>
        <color theme="1"/>
        <rFont val="Calibri"/>
        <family val="2"/>
        <charset val="204"/>
        <scheme val="minor"/>
      </rPr>
      <t xml:space="preserve"> / Коэффициент пульсации </t>
    </r>
    <r>
      <rPr>
        <b/>
        <sz val="10"/>
        <color theme="1"/>
        <rFont val="Calibri"/>
        <family val="2"/>
        <charset val="204"/>
        <scheme val="minor"/>
      </rPr>
      <t xml:space="preserve">&lt;1% </t>
    </r>
    <r>
      <rPr>
        <sz val="10"/>
        <color theme="1"/>
        <rFont val="Calibri"/>
        <family val="2"/>
        <charset val="204"/>
        <scheme val="minor"/>
      </rPr>
      <t>/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 xml:space="preserve">Коэффициент мощности источника питания светильника </t>
    </r>
    <r>
      <rPr>
        <b/>
        <sz val="10"/>
        <color theme="1"/>
        <rFont val="Calibri"/>
        <family val="2"/>
        <charset val="204"/>
        <scheme val="minor"/>
      </rPr>
      <t>0,98</t>
    </r>
    <r>
      <rPr>
        <sz val="10"/>
        <color theme="1"/>
        <rFont val="Calibri"/>
        <family val="2"/>
        <charset val="204"/>
        <scheme val="minor"/>
      </rPr>
      <t xml:space="preserve"> / Тип КСС </t>
    </r>
    <r>
      <rPr>
        <b/>
        <sz val="10"/>
        <color theme="1"/>
        <rFont val="Calibri"/>
        <family val="2"/>
        <charset val="204"/>
        <scheme val="minor"/>
      </rPr>
      <t xml:space="preserve">Д (120°) </t>
    </r>
    <r>
      <rPr>
        <sz val="10"/>
        <color theme="1"/>
        <rFont val="Calibri"/>
        <family val="2"/>
        <charset val="204"/>
        <scheme val="minor"/>
      </rPr>
      <t>/ Степень защиты</t>
    </r>
    <r>
      <rPr>
        <b/>
        <sz val="10"/>
        <color theme="1"/>
        <rFont val="Calibri"/>
        <family val="2"/>
        <charset val="204"/>
        <scheme val="minor"/>
      </rPr>
      <t xml:space="preserve"> IP66</t>
    </r>
    <r>
      <rPr>
        <sz val="10"/>
        <color theme="1"/>
        <rFont val="Calibri"/>
        <family val="2"/>
        <charset val="204"/>
        <scheme val="minor"/>
      </rPr>
      <t xml:space="preserve"> / Диапазон длины волны цвета </t>
    </r>
    <r>
      <rPr>
        <b/>
        <sz val="10"/>
        <color theme="1"/>
        <rFont val="Calibri"/>
        <family val="2"/>
        <charset val="204"/>
        <scheme val="minor"/>
      </rPr>
      <t>380-840 нМ</t>
    </r>
    <r>
      <rPr>
        <sz val="10"/>
        <color theme="1"/>
        <rFont val="Calibri"/>
        <family val="2"/>
        <charset val="204"/>
        <scheme val="minor"/>
      </rPr>
      <t xml:space="preserve"> / Цветовая температура </t>
    </r>
    <r>
      <rPr>
        <b/>
        <sz val="10"/>
        <color theme="1"/>
        <rFont val="Calibri"/>
        <family val="2"/>
        <charset val="204"/>
        <scheme val="minor"/>
      </rPr>
      <t>1500 К</t>
    </r>
    <r>
      <rPr>
        <sz val="10"/>
        <color theme="1"/>
        <rFont val="Calibri"/>
        <family val="2"/>
        <charset val="204"/>
        <scheme val="minor"/>
      </rPr>
      <t xml:space="preserve"> / Гарантия </t>
    </r>
    <r>
      <rPr>
        <b/>
        <sz val="10"/>
        <color theme="1"/>
        <rFont val="Calibri"/>
        <family val="2"/>
        <charset val="204"/>
        <scheme val="minor"/>
      </rPr>
      <t>60 мес.</t>
    </r>
  </si>
  <si>
    <r>
      <t xml:space="preserve">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>176-264B AC/250-370В DC</t>
    </r>
    <r>
      <rPr>
        <sz val="10"/>
        <color theme="1"/>
        <rFont val="Calibri"/>
        <family val="2"/>
        <charset val="204"/>
        <scheme val="minor"/>
      </rPr>
      <t xml:space="preserve"> / Предельный 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>150-280B AC/250-394B DC</t>
    </r>
    <r>
      <rPr>
        <sz val="10"/>
        <color theme="1"/>
        <rFont val="Calibri"/>
        <family val="2"/>
        <charset val="204"/>
        <scheme val="minor"/>
      </rPr>
      <t xml:space="preserve"> / Температура эксплуатации </t>
    </r>
    <r>
      <rPr>
        <b/>
        <sz val="10"/>
        <color theme="1"/>
        <rFont val="Calibri"/>
        <family val="2"/>
        <charset val="204"/>
        <scheme val="minor"/>
      </rPr>
      <t>-40 +40</t>
    </r>
    <r>
      <rPr>
        <sz val="10"/>
        <color theme="1"/>
        <rFont val="Calibri"/>
        <family val="2"/>
        <charset val="204"/>
        <scheme val="minor"/>
      </rPr>
      <t xml:space="preserve"> / Коэффициент пульсации </t>
    </r>
    <r>
      <rPr>
        <b/>
        <sz val="10"/>
        <color theme="1"/>
        <rFont val="Calibri"/>
        <family val="2"/>
        <charset val="204"/>
        <scheme val="minor"/>
      </rPr>
      <t xml:space="preserve">&lt;1% </t>
    </r>
    <r>
      <rPr>
        <sz val="10"/>
        <color theme="1"/>
        <rFont val="Calibri"/>
        <family val="2"/>
        <charset val="204"/>
        <scheme val="minor"/>
      </rPr>
      <t>/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 xml:space="preserve">Коэффициент мощности источника питания светильника </t>
    </r>
    <r>
      <rPr>
        <b/>
        <sz val="10"/>
        <color theme="1"/>
        <rFont val="Calibri"/>
        <family val="2"/>
        <charset val="204"/>
        <scheme val="minor"/>
      </rPr>
      <t>0,98</t>
    </r>
    <r>
      <rPr>
        <sz val="10"/>
        <color theme="1"/>
        <rFont val="Calibri"/>
        <family val="2"/>
        <charset val="204"/>
        <scheme val="minor"/>
      </rPr>
      <t xml:space="preserve"> / Тип КСС </t>
    </r>
    <r>
      <rPr>
        <b/>
        <sz val="10"/>
        <color theme="1"/>
        <rFont val="Calibri"/>
        <family val="2"/>
        <charset val="204"/>
        <scheme val="minor"/>
      </rPr>
      <t xml:space="preserve">Д (120°) </t>
    </r>
    <r>
      <rPr>
        <sz val="10"/>
        <color theme="1"/>
        <rFont val="Calibri"/>
        <family val="2"/>
        <charset val="204"/>
        <scheme val="minor"/>
      </rPr>
      <t>/ Степень защиты</t>
    </r>
    <r>
      <rPr>
        <b/>
        <sz val="10"/>
        <color theme="1"/>
        <rFont val="Calibri"/>
        <family val="2"/>
        <charset val="204"/>
        <scheme val="minor"/>
      </rPr>
      <t xml:space="preserve"> IP66</t>
    </r>
    <r>
      <rPr>
        <sz val="10"/>
        <color theme="1"/>
        <rFont val="Calibri"/>
        <family val="2"/>
        <charset val="204"/>
        <scheme val="minor"/>
      </rPr>
      <t xml:space="preserve"> / Цветовая температура </t>
    </r>
    <r>
      <rPr>
        <b/>
        <sz val="10"/>
        <color theme="1"/>
        <rFont val="Calibri"/>
        <family val="2"/>
        <charset val="204"/>
        <scheme val="minor"/>
      </rPr>
      <t>3000/4000/5000 К</t>
    </r>
    <r>
      <rPr>
        <sz val="10"/>
        <color theme="1"/>
        <rFont val="Calibri"/>
        <family val="2"/>
        <charset val="204"/>
        <scheme val="minor"/>
      </rPr>
      <t xml:space="preserve"> / Светодиоды </t>
    </r>
    <r>
      <rPr>
        <b/>
        <sz val="10"/>
        <color theme="1"/>
        <rFont val="Calibri"/>
        <family val="2"/>
        <charset val="204"/>
        <scheme val="minor"/>
      </rPr>
      <t>SAMSUNG</t>
    </r>
    <r>
      <rPr>
        <sz val="10"/>
        <color theme="1"/>
        <rFont val="Calibri"/>
        <family val="2"/>
        <charset val="204"/>
        <scheme val="minor"/>
      </rPr>
      <t xml:space="preserve"> / Гарантия </t>
    </r>
    <r>
      <rPr>
        <b/>
        <sz val="10"/>
        <color theme="1"/>
        <rFont val="Calibri"/>
        <family val="2"/>
        <charset val="204"/>
        <scheme val="minor"/>
      </rPr>
      <t>60 мес.</t>
    </r>
  </si>
  <si>
    <t>*-заказ от 100 шт.</t>
  </si>
  <si>
    <t>%потери на оптике</t>
  </si>
  <si>
    <t>лм/светод</t>
  </si>
  <si>
    <t>кол-во светод</t>
  </si>
  <si>
    <t>поток лм/светод</t>
  </si>
  <si>
    <r>
      <t xml:space="preserve">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>176-264B AC/250-370В DC</t>
    </r>
    <r>
      <rPr>
        <sz val="10"/>
        <color theme="1"/>
        <rFont val="Calibri"/>
        <family val="2"/>
        <charset val="204"/>
        <scheme val="minor"/>
      </rPr>
      <t xml:space="preserve"> / Предельный 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>150-280B AC/250-394B DC</t>
    </r>
    <r>
      <rPr>
        <sz val="10"/>
        <color theme="1"/>
        <rFont val="Calibri"/>
        <family val="2"/>
        <charset val="204"/>
        <scheme val="minor"/>
      </rPr>
      <t xml:space="preserve"> / Температура эксплуатации </t>
    </r>
    <r>
      <rPr>
        <b/>
        <sz val="10"/>
        <color theme="1"/>
        <rFont val="Calibri"/>
        <family val="2"/>
        <charset val="204"/>
        <scheme val="minor"/>
      </rPr>
      <t>-50 +50</t>
    </r>
    <r>
      <rPr>
        <sz val="10"/>
        <color theme="1"/>
        <rFont val="Calibri"/>
        <family val="2"/>
        <charset val="204"/>
        <scheme val="minor"/>
      </rPr>
      <t xml:space="preserve"> / Коэффициент пульсации </t>
    </r>
    <r>
      <rPr>
        <b/>
        <sz val="10"/>
        <color theme="1"/>
        <rFont val="Calibri"/>
        <family val="2"/>
        <charset val="204"/>
        <scheme val="minor"/>
      </rPr>
      <t xml:space="preserve">&lt;1% </t>
    </r>
    <r>
      <rPr>
        <sz val="10"/>
        <color theme="1"/>
        <rFont val="Calibri"/>
        <family val="2"/>
        <charset val="204"/>
        <scheme val="minor"/>
      </rPr>
      <t>/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 xml:space="preserve">Коэффициент мощности источника питания светильника </t>
    </r>
    <r>
      <rPr>
        <b/>
        <sz val="10"/>
        <color theme="1"/>
        <rFont val="Calibri"/>
        <family val="2"/>
        <charset val="204"/>
        <scheme val="minor"/>
      </rPr>
      <t>0,98</t>
    </r>
    <r>
      <rPr>
        <sz val="10"/>
        <color theme="1"/>
        <rFont val="Calibri"/>
        <family val="2"/>
        <charset val="204"/>
        <scheme val="minor"/>
      </rPr>
      <t xml:space="preserve"> / Тип КСС </t>
    </r>
    <r>
      <rPr>
        <b/>
        <sz val="10"/>
        <color theme="1"/>
        <rFont val="Calibri"/>
        <family val="2"/>
        <charset val="204"/>
        <scheme val="minor"/>
      </rPr>
      <t xml:space="preserve">Д (120°) </t>
    </r>
    <r>
      <rPr>
        <sz val="10"/>
        <color theme="1"/>
        <rFont val="Calibri"/>
        <family val="2"/>
        <charset val="204"/>
        <scheme val="minor"/>
      </rPr>
      <t>/ Степень защиты</t>
    </r>
    <r>
      <rPr>
        <b/>
        <sz val="10"/>
        <color theme="1"/>
        <rFont val="Calibri"/>
        <family val="2"/>
        <charset val="204"/>
        <scheme val="minor"/>
      </rPr>
      <t xml:space="preserve"> IP66</t>
    </r>
    <r>
      <rPr>
        <sz val="10"/>
        <color theme="1"/>
        <rFont val="Calibri"/>
        <family val="2"/>
        <charset val="204"/>
        <scheme val="minor"/>
      </rPr>
      <t xml:space="preserve"> / Цветовая температура </t>
    </r>
    <r>
      <rPr>
        <b/>
        <sz val="10"/>
        <color theme="1"/>
        <rFont val="Calibri"/>
        <family val="2"/>
        <charset val="204"/>
        <scheme val="minor"/>
      </rPr>
      <t>3000/4000/5000 К</t>
    </r>
    <r>
      <rPr>
        <sz val="10"/>
        <color theme="1"/>
        <rFont val="Calibri"/>
        <family val="2"/>
        <charset val="204"/>
        <scheme val="minor"/>
      </rPr>
      <t xml:space="preserve"> / Светодиоды</t>
    </r>
    <r>
      <rPr>
        <b/>
        <sz val="10"/>
        <color theme="1"/>
        <rFont val="Calibri"/>
        <family val="2"/>
        <charset val="204"/>
        <scheme val="minor"/>
      </rPr>
      <t xml:space="preserve"> SAMSUNG</t>
    </r>
    <r>
      <rPr>
        <sz val="10"/>
        <color theme="1"/>
        <rFont val="Calibri"/>
        <family val="2"/>
        <charset val="204"/>
        <scheme val="minor"/>
      </rPr>
      <t xml:space="preserve"> / Гарантия </t>
    </r>
    <r>
      <rPr>
        <b/>
        <sz val="10"/>
        <color theme="1"/>
        <rFont val="Calibri"/>
        <family val="2"/>
        <charset val="204"/>
        <scheme val="minor"/>
      </rPr>
      <t>60 мес.</t>
    </r>
  </si>
  <si>
    <r>
      <t xml:space="preserve">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>176-264B AC/250-370В DC</t>
    </r>
    <r>
      <rPr>
        <sz val="10"/>
        <color theme="1"/>
        <rFont val="Calibri"/>
        <family val="2"/>
        <charset val="204"/>
        <scheme val="minor"/>
      </rPr>
      <t xml:space="preserve"> / Предельный 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>150-280B AC/250-394B DC</t>
    </r>
    <r>
      <rPr>
        <sz val="10"/>
        <color theme="1"/>
        <rFont val="Calibri"/>
        <family val="2"/>
        <charset val="204"/>
        <scheme val="minor"/>
      </rPr>
      <t xml:space="preserve"> / Температура эксплуатации </t>
    </r>
    <r>
      <rPr>
        <b/>
        <sz val="10"/>
        <color theme="1"/>
        <rFont val="Calibri"/>
        <family val="2"/>
        <charset val="204"/>
        <scheme val="minor"/>
      </rPr>
      <t>-50 +50</t>
    </r>
    <r>
      <rPr>
        <sz val="10"/>
        <color theme="1"/>
        <rFont val="Calibri"/>
        <family val="2"/>
        <charset val="204"/>
        <scheme val="minor"/>
      </rPr>
      <t xml:space="preserve"> / Коэффициент пульсации </t>
    </r>
    <r>
      <rPr>
        <b/>
        <sz val="10"/>
        <color theme="1"/>
        <rFont val="Calibri"/>
        <family val="2"/>
        <charset val="204"/>
        <scheme val="minor"/>
      </rPr>
      <t xml:space="preserve">&lt;1% </t>
    </r>
    <r>
      <rPr>
        <sz val="10"/>
        <color theme="1"/>
        <rFont val="Calibri"/>
        <family val="2"/>
        <charset val="204"/>
        <scheme val="minor"/>
      </rPr>
      <t>/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 xml:space="preserve">Коэффициент мощности источника питания светильника </t>
    </r>
    <r>
      <rPr>
        <b/>
        <sz val="10"/>
        <color theme="1"/>
        <rFont val="Calibri"/>
        <family val="2"/>
        <charset val="204"/>
        <scheme val="minor"/>
      </rPr>
      <t>0,98</t>
    </r>
    <r>
      <rPr>
        <sz val="10"/>
        <color theme="1"/>
        <rFont val="Calibri"/>
        <family val="2"/>
        <charset val="204"/>
        <scheme val="minor"/>
      </rPr>
      <t xml:space="preserve"> / Тип КСС </t>
    </r>
    <r>
      <rPr>
        <b/>
        <sz val="10"/>
        <color theme="1"/>
        <rFont val="Calibri"/>
        <family val="2"/>
        <charset val="204"/>
        <scheme val="minor"/>
      </rPr>
      <t xml:space="preserve">Д (120°) </t>
    </r>
    <r>
      <rPr>
        <sz val="10"/>
        <color theme="1"/>
        <rFont val="Calibri"/>
        <family val="2"/>
        <charset val="204"/>
        <scheme val="minor"/>
      </rPr>
      <t>/ Степень защиты</t>
    </r>
    <r>
      <rPr>
        <b/>
        <sz val="10"/>
        <color theme="1"/>
        <rFont val="Calibri"/>
        <family val="2"/>
        <charset val="204"/>
        <scheme val="minor"/>
      </rPr>
      <t xml:space="preserve"> IP66</t>
    </r>
    <r>
      <rPr>
        <sz val="10"/>
        <color theme="1"/>
        <rFont val="Calibri"/>
        <family val="2"/>
        <charset val="204"/>
        <scheme val="minor"/>
      </rPr>
      <t xml:space="preserve"> / Цветовая температура </t>
    </r>
    <r>
      <rPr>
        <b/>
        <sz val="10"/>
        <color theme="1"/>
        <rFont val="Calibri"/>
        <family val="2"/>
        <charset val="204"/>
        <scheme val="minor"/>
      </rPr>
      <t>3000/4000/5000 К</t>
    </r>
    <r>
      <rPr>
        <sz val="10"/>
        <color theme="1"/>
        <rFont val="Calibri"/>
        <family val="2"/>
        <charset val="204"/>
        <scheme val="minor"/>
      </rPr>
      <t xml:space="preserve"> / Светодиоды </t>
    </r>
    <r>
      <rPr>
        <b/>
        <sz val="10"/>
        <color theme="1"/>
        <rFont val="Calibri"/>
        <family val="2"/>
        <charset val="204"/>
        <scheme val="minor"/>
      </rPr>
      <t xml:space="preserve">SAMSUNG </t>
    </r>
    <r>
      <rPr>
        <sz val="10"/>
        <color theme="1"/>
        <rFont val="Calibri"/>
        <family val="2"/>
        <charset val="204"/>
        <scheme val="minor"/>
      </rPr>
      <t xml:space="preserve">/ Гарантия </t>
    </r>
    <r>
      <rPr>
        <b/>
        <sz val="10"/>
        <color theme="1"/>
        <rFont val="Calibri"/>
        <family val="2"/>
        <charset val="204"/>
        <scheme val="minor"/>
      </rPr>
      <t>60 мес.</t>
    </r>
  </si>
  <si>
    <r>
      <t xml:space="preserve">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>176-264B AC/250-370В DC</t>
    </r>
    <r>
      <rPr>
        <sz val="10"/>
        <color theme="1"/>
        <rFont val="Calibri"/>
        <family val="2"/>
        <charset val="204"/>
        <scheme val="minor"/>
      </rPr>
      <t xml:space="preserve"> / Предельный 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>150-280B AC/250-394B DC</t>
    </r>
    <r>
      <rPr>
        <sz val="10"/>
        <color theme="1"/>
        <rFont val="Calibri"/>
        <family val="2"/>
        <charset val="204"/>
        <scheme val="minor"/>
      </rPr>
      <t xml:space="preserve"> / Температура эксплуатации </t>
    </r>
    <r>
      <rPr>
        <b/>
        <sz val="10"/>
        <color theme="1"/>
        <rFont val="Calibri"/>
        <family val="2"/>
        <charset val="204"/>
        <scheme val="minor"/>
      </rPr>
      <t>-50 +50</t>
    </r>
    <r>
      <rPr>
        <sz val="10"/>
        <color theme="1"/>
        <rFont val="Calibri"/>
        <family val="2"/>
        <charset val="204"/>
        <scheme val="minor"/>
      </rPr>
      <t xml:space="preserve"> / Коэффициент пульсации </t>
    </r>
    <r>
      <rPr>
        <b/>
        <sz val="10"/>
        <color theme="1"/>
        <rFont val="Calibri"/>
        <family val="2"/>
        <charset val="204"/>
        <scheme val="minor"/>
      </rPr>
      <t xml:space="preserve">&lt;1% </t>
    </r>
    <r>
      <rPr>
        <sz val="10"/>
        <color theme="1"/>
        <rFont val="Calibri"/>
        <family val="2"/>
        <charset val="204"/>
        <scheme val="minor"/>
      </rPr>
      <t>/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 xml:space="preserve">Коэффициент мощности источника питания светильника </t>
    </r>
    <r>
      <rPr>
        <b/>
        <sz val="10"/>
        <color theme="1"/>
        <rFont val="Calibri"/>
        <family val="2"/>
        <charset val="204"/>
        <scheme val="minor"/>
      </rPr>
      <t>0,98</t>
    </r>
    <r>
      <rPr>
        <sz val="10"/>
        <color theme="1"/>
        <rFont val="Calibri"/>
        <family val="2"/>
        <charset val="204"/>
        <scheme val="minor"/>
      </rPr>
      <t xml:space="preserve"> / Тип КСС </t>
    </r>
    <r>
      <rPr>
        <b/>
        <sz val="10"/>
        <color theme="1"/>
        <rFont val="Calibri"/>
        <family val="2"/>
        <charset val="204"/>
        <scheme val="minor"/>
      </rPr>
      <t xml:space="preserve">Д (120°) </t>
    </r>
    <r>
      <rPr>
        <sz val="10"/>
        <color theme="1"/>
        <rFont val="Calibri"/>
        <family val="2"/>
        <charset val="204"/>
        <scheme val="minor"/>
      </rPr>
      <t>/ Степень защиты</t>
    </r>
    <r>
      <rPr>
        <b/>
        <sz val="10"/>
        <color theme="1"/>
        <rFont val="Calibri"/>
        <family val="2"/>
        <charset val="204"/>
        <scheme val="minor"/>
      </rPr>
      <t xml:space="preserve"> IP66</t>
    </r>
    <r>
      <rPr>
        <sz val="10"/>
        <color theme="1"/>
        <rFont val="Calibri"/>
        <family val="2"/>
        <charset val="204"/>
        <scheme val="minor"/>
      </rPr>
      <t xml:space="preserve"> / Цветовая температура</t>
    </r>
    <r>
      <rPr>
        <b/>
        <sz val="10"/>
        <color theme="1"/>
        <rFont val="Calibri"/>
        <family val="2"/>
        <charset val="204"/>
        <scheme val="minor"/>
      </rPr>
      <t xml:space="preserve"> 3000/4000/5000 К</t>
    </r>
    <r>
      <rPr>
        <sz val="10"/>
        <color theme="1"/>
        <rFont val="Calibri"/>
        <family val="2"/>
        <charset val="204"/>
        <scheme val="minor"/>
      </rPr>
      <t xml:space="preserve"> / Светодиоды </t>
    </r>
    <r>
      <rPr>
        <b/>
        <sz val="10"/>
        <color theme="1"/>
        <rFont val="Calibri"/>
        <family val="2"/>
        <charset val="204"/>
        <scheme val="minor"/>
      </rPr>
      <t>SAMSUNG</t>
    </r>
    <r>
      <rPr>
        <sz val="10"/>
        <color theme="1"/>
        <rFont val="Calibri"/>
        <family val="2"/>
        <charset val="204"/>
        <scheme val="minor"/>
      </rPr>
      <t xml:space="preserve"> / Гарантия </t>
    </r>
    <r>
      <rPr>
        <b/>
        <sz val="10"/>
        <color theme="1"/>
        <rFont val="Calibri"/>
        <family val="2"/>
        <charset val="204"/>
        <scheme val="minor"/>
      </rPr>
      <t>60 мес.</t>
    </r>
  </si>
  <si>
    <r>
      <t xml:space="preserve">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>176-264B AC/250-370В DC</t>
    </r>
    <r>
      <rPr>
        <sz val="10"/>
        <color theme="1"/>
        <rFont val="Calibri"/>
        <family val="2"/>
        <charset val="204"/>
        <scheme val="minor"/>
      </rPr>
      <t xml:space="preserve"> / Предельный 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>150-280B AC/250-394B DC</t>
    </r>
    <r>
      <rPr>
        <sz val="10"/>
        <color theme="1"/>
        <rFont val="Calibri"/>
        <family val="2"/>
        <charset val="204"/>
        <scheme val="minor"/>
      </rPr>
      <t xml:space="preserve"> / Температура эксплуатации </t>
    </r>
    <r>
      <rPr>
        <b/>
        <sz val="10"/>
        <color theme="1"/>
        <rFont val="Calibri"/>
        <family val="2"/>
        <charset val="204"/>
        <scheme val="minor"/>
      </rPr>
      <t>-50 +50</t>
    </r>
    <r>
      <rPr>
        <sz val="10"/>
        <color theme="1"/>
        <rFont val="Calibri"/>
        <family val="2"/>
        <charset val="204"/>
        <scheme val="minor"/>
      </rPr>
      <t xml:space="preserve"> / Коэффициент пульсации </t>
    </r>
    <r>
      <rPr>
        <b/>
        <sz val="10"/>
        <color theme="1"/>
        <rFont val="Calibri"/>
        <family val="2"/>
        <charset val="204"/>
        <scheme val="minor"/>
      </rPr>
      <t xml:space="preserve">&lt;1% </t>
    </r>
    <r>
      <rPr>
        <sz val="10"/>
        <color theme="1"/>
        <rFont val="Calibri"/>
        <family val="2"/>
        <charset val="204"/>
        <scheme val="minor"/>
      </rPr>
      <t>/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 xml:space="preserve">Коэффициент мощности источника питания светильника </t>
    </r>
    <r>
      <rPr>
        <b/>
        <sz val="10"/>
        <color theme="1"/>
        <rFont val="Calibri"/>
        <family val="2"/>
        <charset val="204"/>
        <scheme val="minor"/>
      </rPr>
      <t>0,98</t>
    </r>
    <r>
      <rPr>
        <sz val="10"/>
        <color theme="1"/>
        <rFont val="Calibri"/>
        <family val="2"/>
        <charset val="204"/>
        <scheme val="minor"/>
      </rPr>
      <t xml:space="preserve"> / Тип КСС </t>
    </r>
    <r>
      <rPr>
        <b/>
        <sz val="10"/>
        <color theme="1"/>
        <rFont val="Calibri"/>
        <family val="2"/>
        <charset val="204"/>
        <scheme val="minor"/>
      </rPr>
      <t xml:space="preserve">Д (120°) </t>
    </r>
    <r>
      <rPr>
        <sz val="10"/>
        <color theme="1"/>
        <rFont val="Calibri"/>
        <family val="2"/>
        <charset val="204"/>
        <scheme val="minor"/>
      </rPr>
      <t>/ Степень защиты</t>
    </r>
    <r>
      <rPr>
        <b/>
        <sz val="10"/>
        <color theme="1"/>
        <rFont val="Calibri"/>
        <family val="2"/>
        <charset val="204"/>
        <scheme val="minor"/>
      </rPr>
      <t xml:space="preserve"> IP66</t>
    </r>
    <r>
      <rPr>
        <sz val="10"/>
        <color theme="1"/>
        <rFont val="Calibri"/>
        <family val="2"/>
        <charset val="204"/>
        <scheme val="minor"/>
      </rPr>
      <t xml:space="preserve"> / Цветовая температура </t>
    </r>
    <r>
      <rPr>
        <b/>
        <sz val="10"/>
        <color theme="1"/>
        <rFont val="Calibri"/>
        <family val="2"/>
        <charset val="204"/>
        <scheme val="minor"/>
      </rPr>
      <t>3000/4000/5000 К</t>
    </r>
    <r>
      <rPr>
        <sz val="10"/>
        <color theme="1"/>
        <rFont val="Calibri"/>
        <family val="2"/>
        <charset val="204"/>
        <scheme val="minor"/>
      </rPr>
      <t xml:space="preserve"> / Светодиоды </t>
    </r>
    <r>
      <rPr>
        <b/>
        <sz val="10"/>
        <color theme="1"/>
        <rFont val="Calibri"/>
        <family val="2"/>
        <charset val="204"/>
        <scheme val="minor"/>
      </rPr>
      <t>SAMSUNG</t>
    </r>
    <r>
      <rPr>
        <sz val="10"/>
        <color theme="1"/>
        <rFont val="Calibri"/>
        <family val="2"/>
        <charset val="204"/>
        <scheme val="minor"/>
      </rPr>
      <t xml:space="preserve"> / Гарантия </t>
    </r>
    <r>
      <rPr>
        <b/>
        <sz val="10"/>
        <color theme="1"/>
        <rFont val="Calibri"/>
        <family val="2"/>
        <charset val="204"/>
        <scheme val="minor"/>
      </rPr>
      <t>60 мес.</t>
    </r>
  </si>
  <si>
    <r>
      <t xml:space="preserve">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>176-264B AC/250-370В DC</t>
    </r>
    <r>
      <rPr>
        <sz val="10"/>
        <color theme="1"/>
        <rFont val="Calibri"/>
        <family val="2"/>
        <charset val="204"/>
        <scheme val="minor"/>
      </rPr>
      <t xml:space="preserve"> / Предельный 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>150-280B AC/250-394B DC</t>
    </r>
    <r>
      <rPr>
        <sz val="10"/>
        <color theme="1"/>
        <rFont val="Calibri"/>
        <family val="2"/>
        <charset val="204"/>
        <scheme val="minor"/>
      </rPr>
      <t xml:space="preserve"> / Температура эксплуатации </t>
    </r>
    <r>
      <rPr>
        <b/>
        <sz val="10"/>
        <color theme="1"/>
        <rFont val="Calibri"/>
        <family val="2"/>
        <charset val="204"/>
        <scheme val="minor"/>
      </rPr>
      <t>-50 +50</t>
    </r>
    <r>
      <rPr>
        <sz val="10"/>
        <color theme="1"/>
        <rFont val="Calibri"/>
        <family val="2"/>
        <charset val="204"/>
        <scheme val="minor"/>
      </rPr>
      <t xml:space="preserve"> / Коэффициент пульсации </t>
    </r>
    <r>
      <rPr>
        <b/>
        <sz val="10"/>
        <color theme="1"/>
        <rFont val="Calibri"/>
        <family val="2"/>
        <charset val="204"/>
        <scheme val="minor"/>
      </rPr>
      <t xml:space="preserve">&lt;1% </t>
    </r>
    <r>
      <rPr>
        <sz val="10"/>
        <color theme="1"/>
        <rFont val="Calibri"/>
        <family val="2"/>
        <charset val="204"/>
        <scheme val="minor"/>
      </rPr>
      <t>/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 xml:space="preserve">Коэффициент мощности источника питания светильника </t>
    </r>
    <r>
      <rPr>
        <b/>
        <sz val="10"/>
        <color theme="1"/>
        <rFont val="Calibri"/>
        <family val="2"/>
        <charset val="204"/>
        <scheme val="minor"/>
      </rPr>
      <t>0,98</t>
    </r>
    <r>
      <rPr>
        <sz val="10"/>
        <color theme="1"/>
        <rFont val="Calibri"/>
        <family val="2"/>
        <charset val="204"/>
        <scheme val="minor"/>
      </rPr>
      <t xml:space="preserve"> / Тип КСС </t>
    </r>
    <r>
      <rPr>
        <b/>
        <sz val="10"/>
        <color theme="1"/>
        <rFont val="Calibri"/>
        <family val="2"/>
        <charset val="204"/>
        <scheme val="minor"/>
      </rPr>
      <t xml:space="preserve">Д (120°) </t>
    </r>
    <r>
      <rPr>
        <sz val="10"/>
        <color theme="1"/>
        <rFont val="Calibri"/>
        <family val="2"/>
        <charset val="204"/>
        <scheme val="minor"/>
      </rPr>
      <t>/ Степень защиты</t>
    </r>
    <r>
      <rPr>
        <b/>
        <sz val="10"/>
        <color theme="1"/>
        <rFont val="Calibri"/>
        <family val="2"/>
        <charset val="204"/>
        <scheme val="minor"/>
      </rPr>
      <t xml:space="preserve"> IP66</t>
    </r>
    <r>
      <rPr>
        <sz val="10"/>
        <color theme="1"/>
        <rFont val="Calibri"/>
        <family val="2"/>
        <charset val="204"/>
        <scheme val="minor"/>
      </rPr>
      <t xml:space="preserve"> / Цветовая температура</t>
    </r>
    <r>
      <rPr>
        <b/>
        <sz val="10"/>
        <color theme="1"/>
        <rFont val="Calibri"/>
        <family val="2"/>
        <charset val="204"/>
        <scheme val="minor"/>
      </rPr>
      <t xml:space="preserve"> 3000/4000/5000 К</t>
    </r>
    <r>
      <rPr>
        <sz val="10"/>
        <color theme="1"/>
        <rFont val="Calibri"/>
        <family val="2"/>
        <charset val="204"/>
        <scheme val="minor"/>
      </rPr>
      <t xml:space="preserve"> / Светодиоды</t>
    </r>
    <r>
      <rPr>
        <b/>
        <sz val="10"/>
        <color theme="1"/>
        <rFont val="Calibri"/>
        <family val="2"/>
        <charset val="204"/>
        <scheme val="minor"/>
      </rPr>
      <t xml:space="preserve"> SAMSUNG</t>
    </r>
    <r>
      <rPr>
        <sz val="10"/>
        <color theme="1"/>
        <rFont val="Calibri"/>
        <family val="2"/>
        <charset val="204"/>
        <scheme val="minor"/>
      </rPr>
      <t xml:space="preserve"> / Гарантия </t>
    </r>
    <r>
      <rPr>
        <b/>
        <sz val="10"/>
        <color theme="1"/>
        <rFont val="Calibri"/>
        <family val="2"/>
        <charset val="204"/>
        <scheme val="minor"/>
      </rPr>
      <t>60 мес.</t>
    </r>
  </si>
  <si>
    <r>
      <t xml:space="preserve">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>140-265B AC</t>
    </r>
    <r>
      <rPr>
        <sz val="10"/>
        <color theme="1"/>
        <rFont val="Calibri"/>
        <family val="2"/>
        <charset val="204"/>
        <scheme val="minor"/>
      </rPr>
      <t xml:space="preserve"> / Температура эксплуатации </t>
    </r>
    <r>
      <rPr>
        <b/>
        <sz val="10"/>
        <color theme="1"/>
        <rFont val="Calibri"/>
        <family val="2"/>
        <charset val="204"/>
        <scheme val="minor"/>
      </rPr>
      <t>-30 +40</t>
    </r>
    <r>
      <rPr>
        <sz val="10"/>
        <color theme="1"/>
        <rFont val="Calibri"/>
        <family val="2"/>
        <charset val="204"/>
        <scheme val="minor"/>
      </rPr>
      <t xml:space="preserve"> / Коэффициент пульсации </t>
    </r>
    <r>
      <rPr>
        <b/>
        <sz val="10"/>
        <color theme="1"/>
        <rFont val="Calibri"/>
        <family val="2"/>
        <charset val="204"/>
        <scheme val="minor"/>
      </rPr>
      <t xml:space="preserve">&lt;1% </t>
    </r>
    <r>
      <rPr>
        <sz val="10"/>
        <color theme="1"/>
        <rFont val="Calibri"/>
        <family val="2"/>
        <charset val="204"/>
        <scheme val="minor"/>
      </rPr>
      <t>/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 xml:space="preserve">Коэффициент мощности источника питания светильника </t>
    </r>
    <r>
      <rPr>
        <b/>
        <sz val="10"/>
        <color theme="1"/>
        <rFont val="Calibri"/>
        <family val="2"/>
        <charset val="204"/>
        <scheme val="minor"/>
      </rPr>
      <t>0,98</t>
    </r>
    <r>
      <rPr>
        <sz val="10"/>
        <color theme="1"/>
        <rFont val="Calibri"/>
        <family val="2"/>
        <charset val="204"/>
        <scheme val="minor"/>
      </rPr>
      <t xml:space="preserve"> / Тип КСС </t>
    </r>
    <r>
      <rPr>
        <b/>
        <sz val="10"/>
        <color theme="1"/>
        <rFont val="Calibri"/>
        <family val="2"/>
        <charset val="204"/>
        <scheme val="minor"/>
      </rPr>
      <t xml:space="preserve">Д (120°) </t>
    </r>
    <r>
      <rPr>
        <sz val="10"/>
        <color theme="1"/>
        <rFont val="Calibri"/>
        <family val="2"/>
        <charset val="204"/>
        <scheme val="minor"/>
      </rPr>
      <t>/ Степень защиты</t>
    </r>
    <r>
      <rPr>
        <b/>
        <sz val="10"/>
        <color theme="1"/>
        <rFont val="Calibri"/>
        <family val="2"/>
        <charset val="204"/>
        <scheme val="minor"/>
      </rPr>
      <t xml:space="preserve"> IP20/IP54</t>
    </r>
    <r>
      <rPr>
        <sz val="10"/>
        <color theme="1"/>
        <rFont val="Calibri"/>
        <family val="2"/>
        <charset val="204"/>
        <scheme val="minor"/>
      </rPr>
      <t xml:space="preserve"> / Цветовая температура </t>
    </r>
    <r>
      <rPr>
        <b/>
        <sz val="10"/>
        <color theme="1"/>
        <rFont val="Calibri"/>
        <family val="2"/>
        <charset val="204"/>
        <scheme val="minor"/>
      </rPr>
      <t>3000/4000/5000 К</t>
    </r>
    <r>
      <rPr>
        <sz val="10"/>
        <color theme="1"/>
        <rFont val="Calibri"/>
        <family val="2"/>
        <charset val="204"/>
        <scheme val="minor"/>
      </rPr>
      <t xml:space="preserve"> / Светодиоды </t>
    </r>
    <r>
      <rPr>
        <b/>
        <sz val="10"/>
        <color theme="1"/>
        <rFont val="Calibri"/>
        <family val="2"/>
        <charset val="204"/>
        <scheme val="minor"/>
      </rPr>
      <t>SAMSUNG</t>
    </r>
    <r>
      <rPr>
        <sz val="10"/>
        <color theme="1"/>
        <rFont val="Calibri"/>
        <family val="2"/>
        <charset val="204"/>
        <scheme val="minor"/>
      </rPr>
      <t xml:space="preserve"> / Гарантия </t>
    </r>
    <r>
      <rPr>
        <b/>
        <sz val="10"/>
        <color theme="1"/>
        <rFont val="Calibri"/>
        <family val="2"/>
        <charset val="204"/>
        <scheme val="minor"/>
      </rPr>
      <t>60 мес.</t>
    </r>
  </si>
  <si>
    <r>
      <t xml:space="preserve">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 xml:space="preserve">140-265B AC </t>
    </r>
    <r>
      <rPr>
        <sz val="10"/>
        <color theme="1"/>
        <rFont val="Calibri"/>
        <family val="2"/>
        <charset val="204"/>
        <scheme val="minor"/>
      </rPr>
      <t xml:space="preserve">/ Температура эксплуатации </t>
    </r>
    <r>
      <rPr>
        <b/>
        <sz val="10"/>
        <color theme="1"/>
        <rFont val="Calibri"/>
        <family val="2"/>
        <charset val="204"/>
        <scheme val="minor"/>
      </rPr>
      <t>-50 +50</t>
    </r>
    <r>
      <rPr>
        <sz val="10"/>
        <color theme="1"/>
        <rFont val="Calibri"/>
        <family val="2"/>
        <charset val="204"/>
        <scheme val="minor"/>
      </rPr>
      <t xml:space="preserve"> / Коэффициент пульсации </t>
    </r>
    <r>
      <rPr>
        <b/>
        <sz val="10"/>
        <color theme="1"/>
        <rFont val="Calibri"/>
        <family val="2"/>
        <charset val="204"/>
        <scheme val="minor"/>
      </rPr>
      <t xml:space="preserve">&lt;1% </t>
    </r>
    <r>
      <rPr>
        <sz val="10"/>
        <color theme="1"/>
        <rFont val="Calibri"/>
        <family val="2"/>
        <charset val="204"/>
        <scheme val="minor"/>
      </rPr>
      <t>/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 xml:space="preserve">Коэффициент мощности источника питания светильника </t>
    </r>
    <r>
      <rPr>
        <b/>
        <sz val="10"/>
        <color theme="1"/>
        <rFont val="Calibri"/>
        <family val="2"/>
        <charset val="204"/>
        <scheme val="minor"/>
      </rPr>
      <t>0,98</t>
    </r>
    <r>
      <rPr>
        <sz val="10"/>
        <color theme="1"/>
        <rFont val="Calibri"/>
        <family val="2"/>
        <charset val="204"/>
        <scheme val="minor"/>
      </rPr>
      <t xml:space="preserve"> / Тип КСС </t>
    </r>
    <r>
      <rPr>
        <b/>
        <sz val="10"/>
        <color theme="1"/>
        <rFont val="Calibri"/>
        <family val="2"/>
        <charset val="204"/>
        <scheme val="minor"/>
      </rPr>
      <t xml:space="preserve">Д (120°) </t>
    </r>
    <r>
      <rPr>
        <sz val="10"/>
        <color theme="1"/>
        <rFont val="Calibri"/>
        <family val="2"/>
        <charset val="204"/>
        <scheme val="minor"/>
      </rPr>
      <t>/ Степень защиты</t>
    </r>
    <r>
      <rPr>
        <b/>
        <sz val="10"/>
        <color theme="1"/>
        <rFont val="Calibri"/>
        <family val="2"/>
        <charset val="204"/>
        <scheme val="minor"/>
      </rPr>
      <t xml:space="preserve"> IP66</t>
    </r>
    <r>
      <rPr>
        <sz val="10"/>
        <color theme="1"/>
        <rFont val="Calibri"/>
        <family val="2"/>
        <charset val="204"/>
        <scheme val="minor"/>
      </rPr>
      <t xml:space="preserve"> / Цветовая температура </t>
    </r>
    <r>
      <rPr>
        <b/>
        <sz val="10"/>
        <color theme="1"/>
        <rFont val="Calibri"/>
        <family val="2"/>
        <charset val="204"/>
        <scheme val="minor"/>
      </rPr>
      <t>3000/4000/5000 К</t>
    </r>
    <r>
      <rPr>
        <sz val="10"/>
        <color theme="1"/>
        <rFont val="Calibri"/>
        <family val="2"/>
        <charset val="204"/>
        <scheme val="minor"/>
      </rPr>
      <t xml:space="preserve"> / Светодиоды </t>
    </r>
    <r>
      <rPr>
        <b/>
        <sz val="10"/>
        <color theme="1"/>
        <rFont val="Calibri"/>
        <family val="2"/>
        <charset val="204"/>
        <scheme val="minor"/>
      </rPr>
      <t>SAMSUNG</t>
    </r>
    <r>
      <rPr>
        <sz val="10"/>
        <color theme="1"/>
        <rFont val="Calibri"/>
        <family val="2"/>
        <charset val="204"/>
        <scheme val="minor"/>
      </rPr>
      <t xml:space="preserve"> / Стандартная пластина </t>
    </r>
    <r>
      <rPr>
        <b/>
        <sz val="10"/>
        <color theme="1"/>
        <rFont val="Calibri"/>
        <family val="2"/>
        <charset val="204"/>
        <scheme val="minor"/>
      </rPr>
      <t xml:space="preserve">600х600 мм. </t>
    </r>
    <r>
      <rPr>
        <sz val="10"/>
        <color theme="1"/>
        <rFont val="Calibri"/>
        <family val="2"/>
        <charset val="204"/>
        <scheme val="minor"/>
      </rPr>
      <t xml:space="preserve">Возможно изготовления пластины под заказ нестандартных размеров / Гарантия </t>
    </r>
    <r>
      <rPr>
        <b/>
        <sz val="10"/>
        <color theme="1"/>
        <rFont val="Calibri"/>
        <family val="2"/>
        <charset val="204"/>
        <scheme val="minor"/>
      </rPr>
      <t>60 мес.</t>
    </r>
  </si>
  <si>
    <r>
      <t xml:space="preserve">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 xml:space="preserve">140-265B AC </t>
    </r>
    <r>
      <rPr>
        <sz val="10"/>
        <color theme="1"/>
        <rFont val="Calibri"/>
        <family val="2"/>
        <charset val="204"/>
        <scheme val="minor"/>
      </rPr>
      <t xml:space="preserve">/ Температура эксплуатации </t>
    </r>
    <r>
      <rPr>
        <b/>
        <sz val="10"/>
        <color theme="1"/>
        <rFont val="Calibri"/>
        <family val="2"/>
        <charset val="204"/>
        <scheme val="minor"/>
      </rPr>
      <t>-50 +50</t>
    </r>
    <r>
      <rPr>
        <sz val="10"/>
        <color theme="1"/>
        <rFont val="Calibri"/>
        <family val="2"/>
        <charset val="204"/>
        <scheme val="minor"/>
      </rPr>
      <t xml:space="preserve"> / Коэффициент пульсации </t>
    </r>
    <r>
      <rPr>
        <b/>
        <sz val="10"/>
        <color theme="1"/>
        <rFont val="Calibri"/>
        <family val="2"/>
        <charset val="204"/>
        <scheme val="minor"/>
      </rPr>
      <t xml:space="preserve">&lt;1% </t>
    </r>
    <r>
      <rPr>
        <sz val="10"/>
        <color theme="1"/>
        <rFont val="Calibri"/>
        <family val="2"/>
        <charset val="204"/>
        <scheme val="minor"/>
      </rPr>
      <t>/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 xml:space="preserve">Коэффициент мощности источника питания светильника </t>
    </r>
    <r>
      <rPr>
        <b/>
        <sz val="10"/>
        <color theme="1"/>
        <rFont val="Calibri"/>
        <family val="2"/>
        <charset val="204"/>
        <scheme val="minor"/>
      </rPr>
      <t>0,98</t>
    </r>
    <r>
      <rPr>
        <sz val="10"/>
        <color theme="1"/>
        <rFont val="Calibri"/>
        <family val="2"/>
        <charset val="204"/>
        <scheme val="minor"/>
      </rPr>
      <t xml:space="preserve"> / Тип КСС </t>
    </r>
    <r>
      <rPr>
        <b/>
        <sz val="10"/>
        <color theme="1"/>
        <rFont val="Calibri"/>
        <family val="2"/>
        <charset val="204"/>
        <scheme val="minor"/>
      </rPr>
      <t xml:space="preserve">Д (120°) </t>
    </r>
    <r>
      <rPr>
        <sz val="10"/>
        <color theme="1"/>
        <rFont val="Calibri"/>
        <family val="2"/>
        <charset val="204"/>
        <scheme val="minor"/>
      </rPr>
      <t>/ Степень защиты</t>
    </r>
    <r>
      <rPr>
        <b/>
        <sz val="10"/>
        <color theme="1"/>
        <rFont val="Calibri"/>
        <family val="2"/>
        <charset val="204"/>
        <scheme val="minor"/>
      </rPr>
      <t xml:space="preserve"> IP66</t>
    </r>
    <r>
      <rPr>
        <sz val="10"/>
        <color theme="1"/>
        <rFont val="Calibri"/>
        <family val="2"/>
        <charset val="204"/>
        <scheme val="minor"/>
      </rPr>
      <t xml:space="preserve"> / Цветовая температура </t>
    </r>
    <r>
      <rPr>
        <b/>
        <sz val="10"/>
        <color theme="1"/>
        <rFont val="Calibri"/>
        <family val="2"/>
        <charset val="204"/>
        <scheme val="minor"/>
      </rPr>
      <t>3000/4000/5000 К</t>
    </r>
    <r>
      <rPr>
        <sz val="10"/>
        <color theme="1"/>
        <rFont val="Calibri"/>
        <family val="2"/>
        <charset val="204"/>
        <scheme val="minor"/>
      </rPr>
      <t xml:space="preserve"> / Светодиоды </t>
    </r>
    <r>
      <rPr>
        <b/>
        <sz val="10"/>
        <color theme="1"/>
        <rFont val="Calibri"/>
        <family val="2"/>
        <charset val="204"/>
        <scheme val="minor"/>
      </rPr>
      <t>SAMSUNG</t>
    </r>
    <r>
      <rPr>
        <sz val="10"/>
        <color theme="1"/>
        <rFont val="Calibri"/>
        <family val="2"/>
        <charset val="204"/>
        <scheme val="minor"/>
      </rPr>
      <t xml:space="preserve"> / Стандартная пластина </t>
    </r>
    <r>
      <rPr>
        <b/>
        <sz val="10"/>
        <color theme="1"/>
        <rFont val="Calibri"/>
        <family val="2"/>
        <charset val="204"/>
        <scheme val="minor"/>
      </rPr>
      <t xml:space="preserve">600х600 мм </t>
    </r>
    <r>
      <rPr>
        <sz val="10"/>
        <color theme="1"/>
        <rFont val="Calibri"/>
        <family val="2"/>
        <charset val="204"/>
        <scheme val="minor"/>
      </rPr>
      <t xml:space="preserve">Возможно изготовления пластины под заказ нестандартных размеров / Гарантия </t>
    </r>
    <r>
      <rPr>
        <b/>
        <sz val="10"/>
        <color theme="1"/>
        <rFont val="Calibri"/>
        <family val="2"/>
        <charset val="204"/>
        <scheme val="minor"/>
      </rPr>
      <t>60 мес.</t>
    </r>
  </si>
  <si>
    <r>
      <t xml:space="preserve">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 xml:space="preserve">140-265B AC </t>
    </r>
    <r>
      <rPr>
        <sz val="10"/>
        <color theme="1"/>
        <rFont val="Calibri"/>
        <family val="2"/>
        <charset val="204"/>
        <scheme val="minor"/>
      </rPr>
      <t xml:space="preserve">/ Температура эксплуатации </t>
    </r>
    <r>
      <rPr>
        <b/>
        <sz val="10"/>
        <color theme="1"/>
        <rFont val="Calibri"/>
        <family val="2"/>
        <charset val="204"/>
        <scheme val="minor"/>
      </rPr>
      <t>-50 +50</t>
    </r>
    <r>
      <rPr>
        <sz val="10"/>
        <color theme="1"/>
        <rFont val="Calibri"/>
        <family val="2"/>
        <charset val="204"/>
        <scheme val="minor"/>
      </rPr>
      <t xml:space="preserve"> / Коэффициент пульсации </t>
    </r>
    <r>
      <rPr>
        <b/>
        <sz val="10"/>
        <color theme="1"/>
        <rFont val="Calibri"/>
        <family val="2"/>
        <charset val="204"/>
        <scheme val="minor"/>
      </rPr>
      <t xml:space="preserve">&lt;1% </t>
    </r>
    <r>
      <rPr>
        <sz val="10"/>
        <color theme="1"/>
        <rFont val="Calibri"/>
        <family val="2"/>
        <charset val="204"/>
        <scheme val="minor"/>
      </rPr>
      <t>/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 xml:space="preserve">Коэффициент мощности источника питания светильника </t>
    </r>
    <r>
      <rPr>
        <b/>
        <sz val="10"/>
        <color theme="1"/>
        <rFont val="Calibri"/>
        <family val="2"/>
        <charset val="204"/>
        <scheme val="minor"/>
      </rPr>
      <t>0,98</t>
    </r>
    <r>
      <rPr>
        <sz val="10"/>
        <color theme="1"/>
        <rFont val="Calibri"/>
        <family val="2"/>
        <charset val="204"/>
        <scheme val="minor"/>
      </rPr>
      <t xml:space="preserve"> / Тип КСС </t>
    </r>
    <r>
      <rPr>
        <b/>
        <sz val="10"/>
        <color theme="1"/>
        <rFont val="Calibri"/>
        <family val="2"/>
        <charset val="204"/>
        <scheme val="minor"/>
      </rPr>
      <t xml:space="preserve">Д (120°) </t>
    </r>
    <r>
      <rPr>
        <sz val="10"/>
        <color theme="1"/>
        <rFont val="Calibri"/>
        <family val="2"/>
        <charset val="204"/>
        <scheme val="minor"/>
      </rPr>
      <t>/ Степень защиты</t>
    </r>
    <r>
      <rPr>
        <b/>
        <sz val="10"/>
        <color theme="1"/>
        <rFont val="Calibri"/>
        <family val="2"/>
        <charset val="204"/>
        <scheme val="minor"/>
      </rPr>
      <t xml:space="preserve"> IP65</t>
    </r>
    <r>
      <rPr>
        <sz val="10"/>
        <color theme="1"/>
        <rFont val="Calibri"/>
        <family val="2"/>
        <charset val="204"/>
        <scheme val="minor"/>
      </rPr>
      <t xml:space="preserve"> / Цветовая температура </t>
    </r>
    <r>
      <rPr>
        <b/>
        <sz val="10"/>
        <color theme="1"/>
        <rFont val="Calibri"/>
        <family val="2"/>
        <charset val="204"/>
        <scheme val="minor"/>
      </rPr>
      <t>3000/4000/5000 К</t>
    </r>
    <r>
      <rPr>
        <sz val="10"/>
        <color theme="1"/>
        <rFont val="Calibri"/>
        <family val="2"/>
        <charset val="204"/>
        <scheme val="minor"/>
      </rPr>
      <t xml:space="preserve"> / Светодиоды </t>
    </r>
    <r>
      <rPr>
        <b/>
        <sz val="10"/>
        <color theme="1"/>
        <rFont val="Calibri"/>
        <family val="2"/>
        <charset val="204"/>
        <scheme val="minor"/>
      </rPr>
      <t>SAMSUNG</t>
    </r>
    <r>
      <rPr>
        <sz val="10"/>
        <color theme="1"/>
        <rFont val="Calibri"/>
        <family val="2"/>
        <charset val="204"/>
        <scheme val="minor"/>
      </rPr>
      <t xml:space="preserve"> / Гарантия </t>
    </r>
    <r>
      <rPr>
        <b/>
        <sz val="10"/>
        <color theme="1"/>
        <rFont val="Calibri"/>
        <family val="2"/>
        <charset val="204"/>
        <scheme val="minor"/>
      </rPr>
      <t>60 мес.</t>
    </r>
  </si>
  <si>
    <t>%потери на рассеивателе</t>
  </si>
  <si>
    <r>
      <t>Напряжение питания</t>
    </r>
    <r>
      <rPr>
        <b/>
        <sz val="10"/>
        <color theme="1"/>
        <rFont val="Calibri"/>
        <family val="2"/>
        <charset val="204"/>
        <scheme val="minor"/>
      </rPr>
      <t xml:space="preserve"> 12/24/36В DC</t>
    </r>
    <r>
      <rPr>
        <sz val="10"/>
        <color theme="1"/>
        <rFont val="Calibri"/>
        <family val="2"/>
        <charset val="204"/>
        <scheme val="minor"/>
      </rPr>
      <t xml:space="preserve"> / Температура эксплуатации </t>
    </r>
    <r>
      <rPr>
        <b/>
        <sz val="10"/>
        <color theme="1"/>
        <rFont val="Calibri"/>
        <family val="2"/>
        <charset val="204"/>
        <scheme val="minor"/>
      </rPr>
      <t>-50 +50</t>
    </r>
    <r>
      <rPr>
        <sz val="10"/>
        <color theme="1"/>
        <rFont val="Calibri"/>
        <family val="2"/>
        <charset val="204"/>
        <scheme val="minor"/>
      </rPr>
      <t xml:space="preserve"> / Коэффициент пульсации </t>
    </r>
    <r>
      <rPr>
        <b/>
        <sz val="10"/>
        <color theme="1"/>
        <rFont val="Calibri"/>
        <family val="2"/>
        <charset val="204"/>
        <scheme val="minor"/>
      </rPr>
      <t xml:space="preserve">&lt;1% </t>
    </r>
    <r>
      <rPr>
        <sz val="10"/>
        <color theme="1"/>
        <rFont val="Calibri"/>
        <family val="2"/>
        <charset val="204"/>
        <scheme val="minor"/>
      </rPr>
      <t>/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 xml:space="preserve">Коэффициент мощности источника питания светильника </t>
    </r>
    <r>
      <rPr>
        <b/>
        <sz val="10"/>
        <color theme="1"/>
        <rFont val="Calibri"/>
        <family val="2"/>
        <charset val="204"/>
        <scheme val="minor"/>
      </rPr>
      <t>0,98</t>
    </r>
    <r>
      <rPr>
        <sz val="10"/>
        <color theme="1"/>
        <rFont val="Calibri"/>
        <family val="2"/>
        <charset val="204"/>
        <scheme val="minor"/>
      </rPr>
      <t xml:space="preserve"> / Тип КСС </t>
    </r>
    <r>
      <rPr>
        <b/>
        <sz val="10"/>
        <color theme="1"/>
        <rFont val="Calibri"/>
        <family val="2"/>
        <charset val="204"/>
        <scheme val="minor"/>
      </rPr>
      <t xml:space="preserve">Д (120°) </t>
    </r>
    <r>
      <rPr>
        <sz val="10"/>
        <color theme="1"/>
        <rFont val="Calibri"/>
        <family val="2"/>
        <charset val="204"/>
        <scheme val="minor"/>
      </rPr>
      <t>/ Степень защиты</t>
    </r>
    <r>
      <rPr>
        <b/>
        <sz val="10"/>
        <color theme="1"/>
        <rFont val="Calibri"/>
        <family val="2"/>
        <charset val="204"/>
        <scheme val="minor"/>
      </rPr>
      <t xml:space="preserve"> IP66</t>
    </r>
    <r>
      <rPr>
        <sz val="10"/>
        <color theme="1"/>
        <rFont val="Calibri"/>
        <family val="2"/>
        <charset val="204"/>
        <scheme val="minor"/>
      </rPr>
      <t xml:space="preserve"> / Цветовая температура </t>
    </r>
    <r>
      <rPr>
        <b/>
        <sz val="10"/>
        <color theme="1"/>
        <rFont val="Calibri"/>
        <family val="2"/>
        <charset val="204"/>
        <scheme val="minor"/>
      </rPr>
      <t>3000/4000/5000 К</t>
    </r>
    <r>
      <rPr>
        <sz val="10"/>
        <color theme="1"/>
        <rFont val="Calibri"/>
        <family val="2"/>
        <charset val="204"/>
        <scheme val="minor"/>
      </rPr>
      <t xml:space="preserve"> / Светодиоды </t>
    </r>
    <r>
      <rPr>
        <b/>
        <sz val="10"/>
        <color theme="1"/>
        <rFont val="Calibri"/>
        <family val="2"/>
        <charset val="204"/>
        <scheme val="minor"/>
      </rPr>
      <t>SAMSUNG</t>
    </r>
    <r>
      <rPr>
        <sz val="10"/>
        <color theme="1"/>
        <rFont val="Calibri"/>
        <family val="2"/>
        <charset val="204"/>
        <scheme val="minor"/>
      </rPr>
      <t xml:space="preserve"> / Гарантия </t>
    </r>
    <r>
      <rPr>
        <b/>
        <sz val="10"/>
        <color theme="1"/>
        <rFont val="Calibri"/>
        <family val="2"/>
        <charset val="204"/>
        <scheme val="minor"/>
      </rPr>
      <t>60 мес.</t>
    </r>
  </si>
  <si>
    <r>
      <t>Напряжение питания</t>
    </r>
    <r>
      <rPr>
        <b/>
        <sz val="10"/>
        <color theme="1"/>
        <rFont val="Calibri"/>
        <family val="2"/>
        <charset val="204"/>
        <scheme val="minor"/>
      </rPr>
      <t xml:space="preserve"> 24/36В DC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 xml:space="preserve">/ Температура эксплуатации </t>
    </r>
    <r>
      <rPr>
        <b/>
        <sz val="10"/>
        <color theme="1"/>
        <rFont val="Calibri"/>
        <family val="2"/>
        <charset val="204"/>
        <scheme val="minor"/>
      </rPr>
      <t>-40 +40</t>
    </r>
    <r>
      <rPr>
        <sz val="10"/>
        <color theme="1"/>
        <rFont val="Calibri"/>
        <family val="2"/>
        <charset val="204"/>
        <scheme val="minor"/>
      </rPr>
      <t xml:space="preserve"> / Коэффициент пульсации </t>
    </r>
    <r>
      <rPr>
        <b/>
        <sz val="10"/>
        <color theme="1"/>
        <rFont val="Calibri"/>
        <family val="2"/>
        <charset val="204"/>
        <scheme val="minor"/>
      </rPr>
      <t xml:space="preserve">&lt;1% </t>
    </r>
    <r>
      <rPr>
        <sz val="10"/>
        <color theme="1"/>
        <rFont val="Calibri"/>
        <family val="2"/>
        <charset val="204"/>
        <scheme val="minor"/>
      </rPr>
      <t>/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 xml:space="preserve">Коэффициент мощности источника питания светильника </t>
    </r>
    <r>
      <rPr>
        <b/>
        <sz val="10"/>
        <color theme="1"/>
        <rFont val="Calibri"/>
        <family val="2"/>
        <charset val="204"/>
        <scheme val="minor"/>
      </rPr>
      <t>0,98</t>
    </r>
    <r>
      <rPr>
        <sz val="10"/>
        <color theme="1"/>
        <rFont val="Calibri"/>
        <family val="2"/>
        <charset val="204"/>
        <scheme val="minor"/>
      </rPr>
      <t xml:space="preserve"> / Тип КСС </t>
    </r>
    <r>
      <rPr>
        <b/>
        <sz val="10"/>
        <color theme="1"/>
        <rFont val="Calibri"/>
        <family val="2"/>
        <charset val="204"/>
        <scheme val="minor"/>
      </rPr>
      <t xml:space="preserve">Д (120°) </t>
    </r>
    <r>
      <rPr>
        <sz val="10"/>
        <color theme="1"/>
        <rFont val="Calibri"/>
        <family val="2"/>
        <charset val="204"/>
        <scheme val="minor"/>
      </rPr>
      <t>/ Степень защиты</t>
    </r>
    <r>
      <rPr>
        <b/>
        <sz val="10"/>
        <color theme="1"/>
        <rFont val="Calibri"/>
        <family val="2"/>
        <charset val="204"/>
        <scheme val="minor"/>
      </rPr>
      <t xml:space="preserve"> IP66</t>
    </r>
    <r>
      <rPr>
        <sz val="10"/>
        <color theme="1"/>
        <rFont val="Calibri"/>
        <family val="2"/>
        <charset val="204"/>
        <scheme val="minor"/>
      </rPr>
      <t xml:space="preserve"> / Цветовая температура </t>
    </r>
    <r>
      <rPr>
        <b/>
        <sz val="10"/>
        <color theme="1"/>
        <rFont val="Calibri"/>
        <family val="2"/>
        <charset val="204"/>
        <scheme val="minor"/>
      </rPr>
      <t>3000/4000/5000 К</t>
    </r>
    <r>
      <rPr>
        <sz val="10"/>
        <color theme="1"/>
        <rFont val="Calibri"/>
        <family val="2"/>
        <charset val="204"/>
        <scheme val="minor"/>
      </rPr>
      <t xml:space="preserve"> / Светодиоды </t>
    </r>
    <r>
      <rPr>
        <b/>
        <sz val="10"/>
        <color theme="1"/>
        <rFont val="Calibri"/>
        <family val="2"/>
        <charset val="204"/>
        <scheme val="minor"/>
      </rPr>
      <t>SAMSUNG</t>
    </r>
    <r>
      <rPr>
        <sz val="10"/>
        <color theme="1"/>
        <rFont val="Calibri"/>
        <family val="2"/>
        <charset val="204"/>
        <scheme val="minor"/>
      </rPr>
      <t xml:space="preserve"> / Гарантия </t>
    </r>
    <r>
      <rPr>
        <b/>
        <sz val="10"/>
        <color theme="1"/>
        <rFont val="Calibri"/>
        <family val="2"/>
        <charset val="204"/>
        <scheme val="minor"/>
      </rPr>
      <t>60 мес.</t>
    </r>
  </si>
  <si>
    <r>
      <t>Напряжение питания</t>
    </r>
    <r>
      <rPr>
        <b/>
        <sz val="10"/>
        <color theme="1"/>
        <rFont val="Calibri"/>
        <family val="2"/>
        <charset val="204"/>
        <scheme val="minor"/>
      </rPr>
      <t xml:space="preserve"> 12/24/36В DC</t>
    </r>
    <r>
      <rPr>
        <sz val="10"/>
        <color theme="1"/>
        <rFont val="Calibri"/>
        <family val="2"/>
        <charset val="204"/>
        <scheme val="minor"/>
      </rPr>
      <t xml:space="preserve"> / </t>
    </r>
    <r>
      <rPr>
        <sz val="10"/>
        <color theme="1"/>
        <rFont val="Calibri"/>
        <family val="2"/>
        <charset val="204"/>
        <scheme val="minor"/>
      </rPr>
      <t xml:space="preserve">Температура эксплуатации </t>
    </r>
    <r>
      <rPr>
        <b/>
        <sz val="10"/>
        <color theme="1"/>
        <rFont val="Calibri"/>
        <family val="2"/>
        <charset val="204"/>
        <scheme val="minor"/>
      </rPr>
      <t>-50 +50</t>
    </r>
    <r>
      <rPr>
        <sz val="10"/>
        <color theme="1"/>
        <rFont val="Calibri"/>
        <family val="2"/>
        <charset val="204"/>
        <scheme val="minor"/>
      </rPr>
      <t xml:space="preserve"> / Коэффициент пульсации </t>
    </r>
    <r>
      <rPr>
        <b/>
        <sz val="10"/>
        <color theme="1"/>
        <rFont val="Calibri"/>
        <family val="2"/>
        <charset val="204"/>
        <scheme val="minor"/>
      </rPr>
      <t xml:space="preserve">&lt;1% </t>
    </r>
    <r>
      <rPr>
        <sz val="10"/>
        <color theme="1"/>
        <rFont val="Calibri"/>
        <family val="2"/>
        <charset val="204"/>
        <scheme val="minor"/>
      </rPr>
      <t>/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 xml:space="preserve">Коэффициент мощности источника питания светильника </t>
    </r>
    <r>
      <rPr>
        <b/>
        <sz val="10"/>
        <color theme="1"/>
        <rFont val="Calibri"/>
        <family val="2"/>
        <charset val="204"/>
        <scheme val="minor"/>
      </rPr>
      <t>0,98</t>
    </r>
    <r>
      <rPr>
        <sz val="10"/>
        <color theme="1"/>
        <rFont val="Calibri"/>
        <family val="2"/>
        <charset val="204"/>
        <scheme val="minor"/>
      </rPr>
      <t xml:space="preserve"> / Тип КСС </t>
    </r>
    <r>
      <rPr>
        <b/>
        <sz val="10"/>
        <color theme="1"/>
        <rFont val="Calibri"/>
        <family val="2"/>
        <charset val="204"/>
        <scheme val="minor"/>
      </rPr>
      <t xml:space="preserve">Д (120°) </t>
    </r>
    <r>
      <rPr>
        <sz val="10"/>
        <color theme="1"/>
        <rFont val="Calibri"/>
        <family val="2"/>
        <charset val="204"/>
        <scheme val="minor"/>
      </rPr>
      <t>/ Степень защиты</t>
    </r>
    <r>
      <rPr>
        <b/>
        <sz val="10"/>
        <color theme="1"/>
        <rFont val="Calibri"/>
        <family val="2"/>
        <charset val="204"/>
        <scheme val="minor"/>
      </rPr>
      <t xml:space="preserve"> IP66</t>
    </r>
    <r>
      <rPr>
        <sz val="10"/>
        <color theme="1"/>
        <rFont val="Calibri"/>
        <family val="2"/>
        <charset val="204"/>
        <scheme val="minor"/>
      </rPr>
      <t xml:space="preserve"> / Цветовая температура </t>
    </r>
    <r>
      <rPr>
        <b/>
        <sz val="10"/>
        <color theme="1"/>
        <rFont val="Calibri"/>
        <family val="2"/>
        <charset val="204"/>
        <scheme val="minor"/>
      </rPr>
      <t>3000/4000/5000 К</t>
    </r>
    <r>
      <rPr>
        <sz val="10"/>
        <color theme="1"/>
        <rFont val="Calibri"/>
        <family val="2"/>
        <charset val="204"/>
        <scheme val="minor"/>
      </rPr>
      <t xml:space="preserve"> / Светодиоды </t>
    </r>
    <r>
      <rPr>
        <b/>
        <sz val="10"/>
        <color theme="1"/>
        <rFont val="Calibri"/>
        <family val="2"/>
        <charset val="204"/>
        <scheme val="minor"/>
      </rPr>
      <t>SAMSUNG</t>
    </r>
    <r>
      <rPr>
        <sz val="10"/>
        <color theme="1"/>
        <rFont val="Calibri"/>
        <family val="2"/>
        <charset val="204"/>
        <scheme val="minor"/>
      </rPr>
      <t xml:space="preserve"> / Гарантия </t>
    </r>
    <r>
      <rPr>
        <b/>
        <sz val="10"/>
        <color theme="1"/>
        <rFont val="Calibri"/>
        <family val="2"/>
        <charset val="204"/>
        <scheme val="minor"/>
      </rPr>
      <t>60 мес.</t>
    </r>
  </si>
  <si>
    <t>Кронштейны поворотный для установки светильника на стену и потолок mini (комплект 2 шт.)</t>
  </si>
  <si>
    <r>
      <t xml:space="preserve">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>176-264B AC/250-370В DC</t>
    </r>
    <r>
      <rPr>
        <sz val="10"/>
        <color theme="1"/>
        <rFont val="Calibri"/>
        <family val="2"/>
        <charset val="204"/>
        <scheme val="minor"/>
      </rPr>
      <t xml:space="preserve"> / Предельный 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>150-280B AC/250-394B DC</t>
    </r>
    <r>
      <rPr>
        <sz val="10"/>
        <color theme="1"/>
        <rFont val="Calibri"/>
        <family val="2"/>
        <charset val="204"/>
        <scheme val="minor"/>
      </rPr>
      <t xml:space="preserve"> / Температура эксплуатации </t>
    </r>
    <r>
      <rPr>
        <b/>
        <sz val="10"/>
        <color theme="1"/>
        <rFont val="Calibri"/>
        <family val="2"/>
        <charset val="204"/>
        <scheme val="minor"/>
      </rPr>
      <t>-15 +45</t>
    </r>
    <r>
      <rPr>
        <sz val="10"/>
        <color theme="1"/>
        <rFont val="Calibri"/>
        <family val="2"/>
        <charset val="204"/>
        <scheme val="minor"/>
      </rPr>
      <t xml:space="preserve"> / Коэффициент пульсации </t>
    </r>
    <r>
      <rPr>
        <b/>
        <sz val="10"/>
        <color theme="1"/>
        <rFont val="Calibri"/>
        <family val="2"/>
        <charset val="204"/>
        <scheme val="minor"/>
      </rPr>
      <t xml:space="preserve">&lt;1% </t>
    </r>
    <r>
      <rPr>
        <sz val="10"/>
        <color theme="1"/>
        <rFont val="Calibri"/>
        <family val="2"/>
        <charset val="204"/>
        <scheme val="minor"/>
      </rPr>
      <t>/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 xml:space="preserve">Коэффициент мощности источника питания светильника </t>
    </r>
    <r>
      <rPr>
        <b/>
        <sz val="10"/>
        <color theme="1"/>
        <rFont val="Calibri"/>
        <family val="2"/>
        <charset val="204"/>
        <scheme val="minor"/>
      </rPr>
      <t>0,98</t>
    </r>
    <r>
      <rPr>
        <sz val="10"/>
        <color theme="1"/>
        <rFont val="Calibri"/>
        <family val="2"/>
        <charset val="204"/>
        <scheme val="minor"/>
      </rPr>
      <t xml:space="preserve"> / Тип КСС </t>
    </r>
    <r>
      <rPr>
        <b/>
        <sz val="10"/>
        <color theme="1"/>
        <rFont val="Calibri"/>
        <family val="2"/>
        <charset val="204"/>
        <scheme val="minor"/>
      </rPr>
      <t xml:space="preserve">Г, Д, (60°х120°) </t>
    </r>
    <r>
      <rPr>
        <sz val="10"/>
        <color theme="1"/>
        <rFont val="Calibri"/>
        <family val="2"/>
        <charset val="204"/>
        <scheme val="minor"/>
      </rPr>
      <t>/ Степень защиты</t>
    </r>
    <r>
      <rPr>
        <b/>
        <sz val="10"/>
        <color theme="1"/>
        <rFont val="Calibri"/>
        <family val="2"/>
        <charset val="204"/>
        <scheme val="minor"/>
      </rPr>
      <t xml:space="preserve"> IP54</t>
    </r>
    <r>
      <rPr>
        <sz val="10"/>
        <color theme="1"/>
        <rFont val="Calibri"/>
        <family val="2"/>
        <charset val="204"/>
        <scheme val="minor"/>
      </rPr>
      <t xml:space="preserve"> / Цветовая температура </t>
    </r>
    <r>
      <rPr>
        <b/>
        <sz val="10"/>
        <color theme="1"/>
        <rFont val="Calibri"/>
        <family val="2"/>
        <charset val="204"/>
        <scheme val="minor"/>
      </rPr>
      <t>3000/4000/5000 К</t>
    </r>
    <r>
      <rPr>
        <sz val="10"/>
        <color theme="1"/>
        <rFont val="Calibri"/>
        <family val="2"/>
        <charset val="204"/>
        <scheme val="minor"/>
      </rPr>
      <t xml:space="preserve"> / Светодиоды </t>
    </r>
    <r>
      <rPr>
        <b/>
        <sz val="10"/>
        <color theme="1"/>
        <rFont val="Calibri"/>
        <family val="2"/>
        <charset val="204"/>
        <scheme val="minor"/>
      </rPr>
      <t>SAMSUNG</t>
    </r>
    <r>
      <rPr>
        <sz val="10"/>
        <color theme="1"/>
        <rFont val="Calibri"/>
        <family val="2"/>
        <charset val="204"/>
        <scheme val="minor"/>
      </rPr>
      <t xml:space="preserve"> / Гарантия </t>
    </r>
    <r>
      <rPr>
        <b/>
        <sz val="10"/>
        <color theme="1"/>
        <rFont val="Calibri"/>
        <family val="2"/>
        <charset val="204"/>
        <scheme val="minor"/>
      </rPr>
      <t>60 мес.</t>
    </r>
  </si>
  <si>
    <r>
      <t xml:space="preserve">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>176-264B AC/250-370В DC</t>
    </r>
    <r>
      <rPr>
        <sz val="10"/>
        <color theme="1"/>
        <rFont val="Calibri"/>
        <family val="2"/>
        <charset val="204"/>
        <scheme val="minor"/>
      </rPr>
      <t xml:space="preserve"> / Предельный диапазон напряжения питания </t>
    </r>
    <r>
      <rPr>
        <b/>
        <sz val="10"/>
        <color theme="1"/>
        <rFont val="Calibri"/>
        <family val="2"/>
        <charset val="204"/>
        <scheme val="minor"/>
      </rPr>
      <t>150-280B AC/250-394B DC</t>
    </r>
    <r>
      <rPr>
        <sz val="10"/>
        <color theme="1"/>
        <rFont val="Calibri"/>
        <family val="2"/>
        <charset val="204"/>
        <scheme val="minor"/>
      </rPr>
      <t xml:space="preserve"> / Температура эксплуатации </t>
    </r>
    <r>
      <rPr>
        <b/>
        <sz val="10"/>
        <color theme="1"/>
        <rFont val="Calibri"/>
        <family val="2"/>
        <charset val="204"/>
        <scheme val="minor"/>
      </rPr>
      <t>-30 +40</t>
    </r>
    <r>
      <rPr>
        <sz val="10"/>
        <color theme="1"/>
        <rFont val="Calibri"/>
        <family val="2"/>
        <charset val="204"/>
        <scheme val="minor"/>
      </rPr>
      <t xml:space="preserve"> / Коэффициент пульсации </t>
    </r>
    <r>
      <rPr>
        <b/>
        <sz val="10"/>
        <color theme="1"/>
        <rFont val="Calibri"/>
        <family val="2"/>
        <charset val="204"/>
        <scheme val="minor"/>
      </rPr>
      <t xml:space="preserve">&lt;1% </t>
    </r>
    <r>
      <rPr>
        <sz val="10"/>
        <color theme="1"/>
        <rFont val="Calibri"/>
        <family val="2"/>
        <charset val="204"/>
        <scheme val="minor"/>
      </rPr>
      <t>/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 xml:space="preserve">Коэффициент мощности источника питания светильника </t>
    </r>
    <r>
      <rPr>
        <b/>
        <sz val="10"/>
        <color theme="1"/>
        <rFont val="Calibri"/>
        <family val="2"/>
        <charset val="204"/>
        <scheme val="minor"/>
      </rPr>
      <t>0,98</t>
    </r>
    <r>
      <rPr>
        <sz val="10"/>
        <color theme="1"/>
        <rFont val="Calibri"/>
        <family val="2"/>
        <charset val="204"/>
        <scheme val="minor"/>
      </rPr>
      <t xml:space="preserve"> / Тип КСС </t>
    </r>
    <r>
      <rPr>
        <b/>
        <sz val="10"/>
        <color theme="1"/>
        <rFont val="Calibri"/>
        <family val="2"/>
        <charset val="204"/>
        <scheme val="minor"/>
      </rPr>
      <t xml:space="preserve">Д (120°) </t>
    </r>
    <r>
      <rPr>
        <sz val="10"/>
        <color theme="1"/>
        <rFont val="Calibri"/>
        <family val="2"/>
        <charset val="204"/>
        <scheme val="minor"/>
      </rPr>
      <t>/ Степень защиты</t>
    </r>
    <r>
      <rPr>
        <b/>
        <sz val="10"/>
        <color theme="1"/>
        <rFont val="Calibri"/>
        <family val="2"/>
        <charset val="204"/>
        <scheme val="minor"/>
      </rPr>
      <t xml:space="preserve"> IP54/66</t>
    </r>
    <r>
      <rPr>
        <sz val="10"/>
        <color theme="1"/>
        <rFont val="Calibri"/>
        <family val="2"/>
        <charset val="204"/>
        <scheme val="minor"/>
      </rPr>
      <t xml:space="preserve"> / Цветовая температура </t>
    </r>
    <r>
      <rPr>
        <b/>
        <sz val="10"/>
        <color theme="1"/>
        <rFont val="Calibri"/>
        <family val="2"/>
        <charset val="204"/>
        <scheme val="minor"/>
      </rPr>
      <t>3000/4000/5000 К</t>
    </r>
    <r>
      <rPr>
        <sz val="10"/>
        <color theme="1"/>
        <rFont val="Calibri"/>
        <family val="2"/>
        <charset val="204"/>
        <scheme val="minor"/>
      </rPr>
      <t xml:space="preserve"> / Светодиоды </t>
    </r>
    <r>
      <rPr>
        <b/>
        <sz val="10"/>
        <color theme="1"/>
        <rFont val="Calibri"/>
        <family val="2"/>
        <charset val="204"/>
        <scheme val="minor"/>
      </rPr>
      <t>SAMSUNG</t>
    </r>
    <r>
      <rPr>
        <sz val="10"/>
        <color theme="1"/>
        <rFont val="Calibri"/>
        <family val="2"/>
        <charset val="204"/>
        <scheme val="minor"/>
      </rPr>
      <t xml:space="preserve"> / Гарантия </t>
    </r>
    <r>
      <rPr>
        <b/>
        <sz val="10"/>
        <color theme="1"/>
        <rFont val="Calibri"/>
        <family val="2"/>
        <charset val="204"/>
        <scheme val="minor"/>
      </rPr>
      <t>60 мес.</t>
    </r>
  </si>
  <si>
    <t>SV-GMS-GSS-50</t>
  </si>
  <si>
    <t>УЛИЧНЫЕ СВЕТОДИОДНЫЕ СВЕТИЛЬНИКИ SV-GMS-GSS</t>
  </si>
  <si>
    <t>SV-GMS-GSS-60</t>
  </si>
  <si>
    <t>SV-GMS-GSS-75</t>
  </si>
  <si>
    <t>SV-GMS-GSS-90</t>
  </si>
  <si>
    <t>SV-GMS-GSS-100</t>
  </si>
  <si>
    <t>SV-GMS-GSS-120</t>
  </si>
  <si>
    <t>УЛИЧНЫЕ СВЕТОДИОДНЫЕ СВЕТИЛЬНИКИ SV-GNS-GSS</t>
  </si>
  <si>
    <t>SV-GNS-GSS-12</t>
  </si>
  <si>
    <t>SV-GNS-GSS-25</t>
  </si>
  <si>
    <t>SV-GNS-GSS-35</t>
  </si>
  <si>
    <t>SV-GNS-GSS-50</t>
  </si>
  <si>
    <t>SV-GNS-GSS-60</t>
  </si>
  <si>
    <t>SV-GNS-GSS-75</t>
  </si>
  <si>
    <t>SV-GNS-GSS-90</t>
  </si>
  <si>
    <t>SV-GNS-GSS-100</t>
  </si>
  <si>
    <t>SV-GNS-GSS-120</t>
  </si>
  <si>
    <t>УЛИЧНЫЕ СВЕТОДИОДНЫЕ СВЕТИЛЬНИКИ SV-GWS-GSS</t>
  </si>
  <si>
    <t>SV-GWS-GSS-25</t>
  </si>
  <si>
    <t>SV-GWS-GSS-50</t>
  </si>
  <si>
    <t>SV-GWS-GSS-60</t>
  </si>
  <si>
    <t>SV-GWS-GSS-75</t>
  </si>
  <si>
    <t>SV-GWS-GSS-90</t>
  </si>
  <si>
    <t>SV-GWS-GSS-100</t>
  </si>
  <si>
    <t>SV-GWS-GSS-120</t>
  </si>
  <si>
    <t>SV-GWS-GSS-140</t>
  </si>
  <si>
    <t>SV-GWS-GSS-160</t>
  </si>
  <si>
    <t>SV-GWS-GSS-180</t>
  </si>
  <si>
    <t>SV-GWS-GSS-200</t>
  </si>
  <si>
    <t>SV-GWS-GSS-220</t>
  </si>
  <si>
    <t>УЛИЧНЫЕ СВЕТОДИОДНЫЕ СВЕТИЛЬНИКИ SV-LNS-GSS</t>
  </si>
  <si>
    <t>SV-LNS-GSS-12</t>
  </si>
  <si>
    <t>SV-LNS-GSS-25</t>
  </si>
  <si>
    <t>SV-LNS-GSS-35</t>
  </si>
  <si>
    <t>SV-LNS-GSS-50</t>
  </si>
  <si>
    <t>SV-LNS-GSS-60</t>
  </si>
  <si>
    <t>SV-LNS-GSS-75</t>
  </si>
  <si>
    <t>SV-LNS-GSS-90</t>
  </si>
  <si>
    <t>SV-LNS-GSS-100</t>
  </si>
  <si>
    <t>УЛИЧНЫЕ СВЕТОДИОДНЫЕ СВЕТИЛЬНИКИ SV-LWS-GSS</t>
  </si>
  <si>
    <t>SV-LWS-GSS-25</t>
  </si>
  <si>
    <t>SV-LWS-GSS-50</t>
  </si>
  <si>
    <t>SV-LWS-GSS-75</t>
  </si>
  <si>
    <t>SV-LWS-GSS-100</t>
  </si>
  <si>
    <t>SV-LWS-GSS-120</t>
  </si>
  <si>
    <t>SV-LWS-GSS-140</t>
  </si>
  <si>
    <t>SV-LWS-GSS-160</t>
  </si>
  <si>
    <t>SV-LWS-GSS-180</t>
  </si>
  <si>
    <t>SV-LWS-GSS-200</t>
  </si>
  <si>
    <t>SV-LWS-GSS-220</t>
  </si>
  <si>
    <t>ПРОМЫШЛЕННЫЕ СВЕТОДИОДНЫЕ СВЕТИЛЬНИКИ SV-GMR-GSS</t>
  </si>
  <si>
    <t>SV-GMR-GSS-50</t>
  </si>
  <si>
    <t>SV-GMR-GSS-60</t>
  </si>
  <si>
    <t>SV-GMR-GSS-75</t>
  </si>
  <si>
    <t>SV-GMR-GSS-90</t>
  </si>
  <si>
    <t>SV-GMR-GSS-100</t>
  </si>
  <si>
    <t>SV-GMR-GSS-120</t>
  </si>
  <si>
    <t>ПРОМЫШЛЕННЫЕ СВЕТОДИОДНЫЕ СВЕТИЛЬНИКИ SV-GNR-GSS</t>
  </si>
  <si>
    <t>SV-GNR-GSS-12</t>
  </si>
  <si>
    <t>SV-GNR-GSS-25</t>
  </si>
  <si>
    <t>SV-GNR-GSS-35</t>
  </si>
  <si>
    <t>SV-GNR-GSS-50</t>
  </si>
  <si>
    <t>SV-GNR-GSS-60</t>
  </si>
  <si>
    <t>SV-GNR-GSS-75</t>
  </si>
  <si>
    <t>SV-GNR-GSS-100</t>
  </si>
  <si>
    <t>SV-GNR-GSS-120</t>
  </si>
  <si>
    <t>ПРОМЫШЛЕННЫЕ НИЗКОВОЛЬТНЫЕ СВЕТОДИОДНЫЕ СВЕТИЛЬНИКИ SV-GNR-GSS-DC</t>
  </si>
  <si>
    <t>SV-GNR-GSS-12-12DC/24DC/36DC</t>
  </si>
  <si>
    <t>SV-GNR-GSS-25-12DC/24DC/36DC</t>
  </si>
  <si>
    <t>SV-GNR-GSS-35-12DC/24DC/36DC</t>
  </si>
  <si>
    <t>SV-GNR-GSS-50-12DC/24DC/36DC</t>
  </si>
  <si>
    <t>SV-GNR-GSS-60-12DC/24DC/36DC</t>
  </si>
  <si>
    <t>SV-GNR-GSS-75-12DC/24DC/36DC</t>
  </si>
  <si>
    <t>SV-GNR-GSS-90-12DC/24DC/36DC</t>
  </si>
  <si>
    <t>SV-GNR-GSS-100-12DC/24DC/36DC</t>
  </si>
  <si>
    <t>SV-GNR-GSS-120-12DC/24DC/36DC</t>
  </si>
  <si>
    <t>ПРОМЫШЛЕННЫЕ СВЕТОДИОДНЫЕ СВЕТИЛЬНИКИ SV-GWR-GSS</t>
  </si>
  <si>
    <t>SV-GWR-GSS-25</t>
  </si>
  <si>
    <t>SV-GWR-GSS-50</t>
  </si>
  <si>
    <t>SV-GWR-GSS-60</t>
  </si>
  <si>
    <t>SV-GWR-GSS-75</t>
  </si>
  <si>
    <t>SV-GWR-GSS-90</t>
  </si>
  <si>
    <t>SV-GWR-GSS-100</t>
  </si>
  <si>
    <t>SV-GWR-GSS-120</t>
  </si>
  <si>
    <t>SV-GWR-GSS-140</t>
  </si>
  <si>
    <t>SV-GWR-GSS-160</t>
  </si>
  <si>
    <t>SV-GWR-GSS-180</t>
  </si>
  <si>
    <t>SV-GWR-GSS-200</t>
  </si>
  <si>
    <t>SV-GWR-GSS-220</t>
  </si>
  <si>
    <t>ПРОМЫШЛЕННЫЕ СВЕТОДИОДНЫЕ СВЕТИЛЬНИКИ SV-LNR-GSS</t>
  </si>
  <si>
    <t>SV-LNR-GSS-12</t>
  </si>
  <si>
    <t>SV-LNR-GSS-25</t>
  </si>
  <si>
    <t>SV-LNR-GSS-35</t>
  </si>
  <si>
    <t>SV-LNR-GSS-50</t>
  </si>
  <si>
    <t>SV-LNR-GSS-60</t>
  </si>
  <si>
    <t>SV-LNR-GSS-75</t>
  </si>
  <si>
    <t>SV-LNR-GSS-90</t>
  </si>
  <si>
    <t>SV-LNR-GSS-100</t>
  </si>
  <si>
    <t>SV-LNR-GSS-110</t>
  </si>
  <si>
    <t>SV-LNR-GSS-120</t>
  </si>
  <si>
    <t>ПРОМЫШЛЕННЫЕ СВЕТОДИОДНЫЕ СВЕТИЛЬНИКИ SV-LWR-GSS</t>
  </si>
  <si>
    <t>SV-LWR-GSS-25</t>
  </si>
  <si>
    <t>SV-LWR-GSS-50</t>
  </si>
  <si>
    <t>SV-LWR-GSS-75</t>
  </si>
  <si>
    <t>SV-LWR-GSS-100</t>
  </si>
  <si>
    <t>SV-LWR-GSS-120</t>
  </si>
  <si>
    <t>SV-LWR-GSS-140</t>
  </si>
  <si>
    <t>SV-LWR-GSS-160</t>
  </si>
  <si>
    <t>SV-LWR-GSS-180</t>
  </si>
  <si>
    <t>SV-LWR-GSS-200</t>
  </si>
  <si>
    <t>SV-LWR-GSS-220</t>
  </si>
  <si>
    <t>ЛИНЕЙНЫЕ СВЕТОДИОДНЫЕ СВЕТИЛЬНИКИ ОБЩЕГО ОСВЕЩЕНИЯ SV-GNLINER-GSS</t>
  </si>
  <si>
    <t>SV-GNLINER-GSS-12-
240-IP66</t>
  </si>
  <si>
    <t>SV-GNLINER-GSS-25-
440-IP66</t>
  </si>
  <si>
    <t>SV-GNLINER-GSS-35-
640-IP66</t>
  </si>
  <si>
    <t>SV-GNLINER-GSS-45-
840-IP66</t>
  </si>
  <si>
    <t>SV-GNLINER-GSS-55-
1040-IP66</t>
  </si>
  <si>
    <t>SV-GNLINER-GSS-70-
1240-IP66</t>
  </si>
  <si>
    <t>SV-GNLINER-GSS-80-
1440-IP66</t>
  </si>
  <si>
    <t>SV-GNLINER-GSS-90-
1640-IP66</t>
  </si>
  <si>
    <t>SV-GNLINER-GSS-100-
1840-IP66</t>
  </si>
  <si>
    <t>SV-GNLINER-GSS-115-
2040-IP66</t>
  </si>
  <si>
    <t>SV-GNLINER-GSS-140-
2460-IP66</t>
  </si>
  <si>
    <t>ЛИНЕЙНЫЕ СВЕТОДИОДНЫЕ СВЕТИЛЬНИКИ ОБЩЕГО ОСВЕЩЕНИЯ SV-L-LINER-GSS  с линейной оптикой  60°х120°</t>
  </si>
  <si>
    <t>SV-L-LINER-GSS-12-
240-IP66</t>
  </si>
  <si>
    <t>SV-L-LINER-GSS-25-
440-IP66</t>
  </si>
  <si>
    <t>SV-L-LINER-GSS-35-
640-IP66</t>
  </si>
  <si>
    <t>SV-L-LINER-GSS-45-
840-IP66</t>
  </si>
  <si>
    <t>SV-L-LINER-GSS-55-
1040-IP66</t>
  </si>
  <si>
    <t>SV-L-LINER-GSS-70-
1240-IP66</t>
  </si>
  <si>
    <t>SV-L-LINER-GSS-80-
1440-IP66</t>
  </si>
  <si>
    <t>SV-L-LINER-GSS-90-
1640-IP66</t>
  </si>
  <si>
    <t>SV-L-LINER-GSS-100-
1840-IP66</t>
  </si>
  <si>
    <t>SV-L-LINER-GSS-115-
2040-IP66</t>
  </si>
  <si>
    <t>ЛИНЕЙНЫЕ СВЕТОДИОДНЫЕ СВЕТИЛЬНИКИ ОБЩЕГО ОСВЕЩЕНИЯ SV-LINER-ORBIT-GSS</t>
  </si>
  <si>
    <t xml:space="preserve">SV-LINER-ORBIT-GSS-
12-240-IP54 </t>
  </si>
  <si>
    <t xml:space="preserve">SV-LINER-ORBIT-GSS-
25-430-IP54 </t>
  </si>
  <si>
    <t>SV-LINER-ORBIT-GSS-
35-630-IP54</t>
  </si>
  <si>
    <t xml:space="preserve">SV-LINER-ORBIT-GSS-
45-830-IP54 </t>
  </si>
  <si>
    <t xml:space="preserve">SV-LINER-ORBIT-GSS-
55-1030-IP54 </t>
  </si>
  <si>
    <t xml:space="preserve">SV-LINER-ORBIT-GSS-
70-1230-IP54 </t>
  </si>
  <si>
    <t xml:space="preserve">SV-LINER-ORBIT-GSS-
80-1430-IP54 </t>
  </si>
  <si>
    <t xml:space="preserve">SV-LINER-ORBIT-GSS-
90-1630-IP54 </t>
  </si>
  <si>
    <t xml:space="preserve">SV-LINER-ORBIT-GSS-
100-1830-IP54 </t>
  </si>
  <si>
    <t xml:space="preserve">SV-LINER-ORBIT-GSS-
115-2030-IP54 </t>
  </si>
  <si>
    <t xml:space="preserve">SV-LINER-ORBIT-GSS-
125-2030-IP54 </t>
  </si>
  <si>
    <t xml:space="preserve">SV-LINER-ORBIT-GSS-
140-2430-IP54 </t>
  </si>
  <si>
    <t>ЛИНЕЙНЫЕ СВЕТОДИОДНЫЕ СВЕТИЛЬНИКИ ОБЩЕГО ОСВЕЩЕНИЯ SV-SPIRE-R-GSS</t>
  </si>
  <si>
    <t xml:space="preserve"> SV-SPIRE-R-GSS-7-470</t>
  </si>
  <si>
    <t xml:space="preserve"> SV-SPIRE-R-GSS-7-930</t>
  </si>
  <si>
    <t xml:space="preserve"> SV-SPIRE-R-GSS-10-1110</t>
  </si>
  <si>
    <t xml:space="preserve"> SV-SPIRE-R-GSS-10-560</t>
  </si>
  <si>
    <t xml:space="preserve"> SV-SPIRE-R-GSS-12-210</t>
  </si>
  <si>
    <t xml:space="preserve"> SV-SPIRE-R-GSS-15-470</t>
  </si>
  <si>
    <t xml:space="preserve"> SV-SPIRE-R-GSS-15-930</t>
  </si>
  <si>
    <t xml:space="preserve"> SV-SPIRE-R-GSS-18-470</t>
  </si>
  <si>
    <t xml:space="preserve"> SV-SPIRE-R-GSS-20-560</t>
  </si>
  <si>
    <t xml:space="preserve"> SV-SPIRE-R-GSS-20-1110</t>
  </si>
  <si>
    <t xml:space="preserve"> SV-SPIRE-R-GSS-22-1390</t>
  </si>
  <si>
    <t xml:space="preserve"> SV-SPIRE-R-GSS-25-1390</t>
  </si>
  <si>
    <t xml:space="preserve"> SV-SPIRE-R-GSS-30-930</t>
  </si>
  <si>
    <t xml:space="preserve"> SV-SPIRE-R-GSS-30-1660</t>
  </si>
  <si>
    <t xml:space="preserve"> SV-SPIRE-R-GSS-35-930</t>
  </si>
  <si>
    <t xml:space="preserve"> SV-SPIRE-R-GSS-40-1110</t>
  </si>
  <si>
    <t xml:space="preserve"> SV-SPIRE-R-GSS-45-1390</t>
  </si>
  <si>
    <t xml:space="preserve"> SV-SPIRE-R-GSS-52-1390</t>
  </si>
  <si>
    <t xml:space="preserve"> SV-SPIRE-R-GSS-60-1660</t>
  </si>
  <si>
    <t>ЛИНЕЙНЫЕ УЛИЧНЫЕ СВЕТОДИОДНЫЕ СВЕТИЛЬНИКИ SV-SPIRE-S-GSS</t>
  </si>
  <si>
    <t xml:space="preserve"> SV-SPIRE-S-GSS-7-470</t>
  </si>
  <si>
    <t xml:space="preserve"> SV-SPIRE-S-GSS-7-930</t>
  </si>
  <si>
    <t xml:space="preserve"> SV-SPIRE-S-GSS-10-1110</t>
  </si>
  <si>
    <t xml:space="preserve"> SV-SPIRE-S-GSS-10-560</t>
  </si>
  <si>
    <t xml:space="preserve"> SV-SPIRE-S-GSS-12-210</t>
  </si>
  <si>
    <t xml:space="preserve"> SV-SPIRE-S-GSS-15-470</t>
  </si>
  <si>
    <t xml:space="preserve"> SV-SPIRE-S-GSS-15-930</t>
  </si>
  <si>
    <t xml:space="preserve"> SV-SPIRE-S-GSS-18-470</t>
  </si>
  <si>
    <t xml:space="preserve"> SV-SPIRE-S-GSS-20-560</t>
  </si>
  <si>
    <t xml:space="preserve"> SV-SPIRE-S-GSS-20-1110</t>
  </si>
  <si>
    <t xml:space="preserve"> SV-SPIRE-S-GSS-30-930</t>
  </si>
  <si>
    <t xml:space="preserve"> SV-SPIRE-S-GSS-35-930</t>
  </si>
  <si>
    <t xml:space="preserve"> SV-SPIRE-S-GSS-40-1110</t>
  </si>
  <si>
    <t>ОФИСНЫЕ СВЕТОДИОДНЫЕ СВЕТИЛЬНИКИ SVP-GSS</t>
  </si>
  <si>
    <t>SVP-GSS-30-1200-IP20</t>
  </si>
  <si>
    <t>SVP-GSS-35-1200-IP20</t>
  </si>
  <si>
    <t>SVP-GSS-40-1200-IP20</t>
  </si>
  <si>
    <t>SVP-GSS-30-1200-IP54</t>
  </si>
  <si>
    <t>SVP-GSS-35-1200-IP54</t>
  </si>
  <si>
    <t>SVP-GSS-40-1200-IP54</t>
  </si>
  <si>
    <t>ОФИСНЫЕ СВЕТОДИОДНЫЕ СВЕТИЛЬНИКИ SVO-GSS</t>
  </si>
  <si>
    <t>SVO-GSS-30-600-IP20</t>
  </si>
  <si>
    <t>SVO-GSS-35-600-IP20</t>
  </si>
  <si>
    <t>SVO-GSS-40-600-IP20</t>
  </si>
  <si>
    <t>SVO-GSS-30-600-IP54</t>
  </si>
  <si>
    <t>SVO-GSS-35-600-IP54</t>
  </si>
  <si>
    <t>SVO-GSS-40-600-IP54</t>
  </si>
  <si>
    <t>ЛИНЕЙНЫЕ НИЗКОВОЛЬТНЫЕ СВЕТОДИОДНЫЕ СВЕТИЛЬНИКИ ОБЩЕГО ОСВЕЩЕНИЯ SV-GNLINER-GSS-DC</t>
  </si>
  <si>
    <t>SV-GNLINER-GSS-12-
240-24DC-IP66</t>
  </si>
  <si>
    <t>SV-GNLINER-GSS-12-
240-36DC-IP66</t>
  </si>
  <si>
    <t>SV-GNLINER-GSS-25-
440-24DC-IP66</t>
  </si>
  <si>
    <t>SV-GNLINER-GSS-25-
440-36DC-IP66</t>
  </si>
  <si>
    <t>SV-GNLINER-GSS-35-
640-24DC-IP66</t>
  </si>
  <si>
    <t>SV-GNLINER-GSS-35-
640-36DC-IP66</t>
  </si>
  <si>
    <t>УЛИЧНОЕ ИСПОЛНЕНИЕ НИЗКОВОЛЬТНЫЕ СВЕТОДИОДНЫЕ СВЕТИЛЬНИКИ SV-GNS-GSS-DC</t>
  </si>
  <si>
    <t>SV-GNS-GSS-12-12DC/24DC/36DC</t>
  </si>
  <si>
    <t>SV-GNS-GSS-25-12DC/24DC/36DC</t>
  </si>
  <si>
    <t>SV-GNS-GSS-35-12DC/24DC/36DC</t>
  </si>
  <si>
    <t>SV-GNS-GSS-50-12DC/24DC/36DC</t>
  </si>
  <si>
    <t>SV-GNS-GSS-60-12DC/24DC/36DC</t>
  </si>
  <si>
    <t>SV-GNS-GSS-75-12DC/24DC/36DC</t>
  </si>
  <si>
    <t>SV-GNS-GSS-90-12DC/24DC/36DC</t>
  </si>
  <si>
    <t>SV-GNS-GSS-100-12DC/24DC/36DC</t>
  </si>
  <si>
    <t>SV-GNS-GSS-120-12DC/24DC/36DC</t>
  </si>
  <si>
    <t>УЛИЧНЫЕ СВЕТОДИОДНЫЕ СВЕТИЛЬНИКИ SV-GMS-GS-GSS ДЛЯ АЗС</t>
  </si>
  <si>
    <t>SV-GMS-GS-GSS-50</t>
  </si>
  <si>
    <t>SV-GMS-GS-GSS-60</t>
  </si>
  <si>
    <t>SV-GMS-GS-GSS-75</t>
  </si>
  <si>
    <t>SV-GMS-GS-GSS-90</t>
  </si>
  <si>
    <t>УЛИЧНЫЕ СВЕТОДИОДНЫЕ СВЕТИЛЬНИКИ SV-GNS-GS-GSS ДЛЯ АЗС</t>
  </si>
  <si>
    <t>SV-GNS-GS-GSS-35</t>
  </si>
  <si>
    <t>SV-GNS-GS-GSS-50</t>
  </si>
  <si>
    <t>SV-GNS-GS-GSS-60</t>
  </si>
  <si>
    <t>SV-GNS-GS-GSS-70 
(2х35)</t>
  </si>
  <si>
    <t>SV-GNS-GS-GSS-100 
(2х50)</t>
  </si>
  <si>
    <t>SV-GNS-GS-GSS-120 
(2х60)</t>
  </si>
  <si>
    <t>SV-GSS-IP65-30-1200</t>
  </si>
  <si>
    <t>SV-GSS-IP65-35-1200</t>
  </si>
  <si>
    <t>SV-GSS-IP65-40-1200</t>
  </si>
  <si>
    <t>СВЕТИЛЬНИК ДЛЯ ДОСВЕТКИ РАСТЕНИЙ SV-LEDROST-GSS</t>
  </si>
  <si>
    <t>SV-LEDROST-GSS-35-FITO</t>
  </si>
  <si>
    <t>SV-LEDROST-GSS-50-FITO</t>
  </si>
  <si>
    <t>SV-LEDROST-GSS-65-FITO</t>
  </si>
  <si>
    <t xml:space="preserve">ООО Компания "СнабСервис"
г.Красноярск пер.Телевизорный д.9 оф.2-01
Телефон: 8-(391)-251-08-15, 251-08-29
e-mail: snabs@mail.ru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</si>
</sst>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&quot;р.&quot;"/>
    <numFmt numFmtId="165" formatCode="[$-419]General"/>
    <numFmt numFmtId="166" formatCode="#,##0.00&quot; &quot;[$руб.-419];[Red]&quot;-&quot;#,##0.00&quot; &quot;[$руб.-419]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b/>
      <i/>
      <sz val="11"/>
      <color indexed="8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u/>
      <sz val="11"/>
      <color rgb="FF0000FF"/>
      <name val="Calibri"/>
      <family val="2"/>
      <charset val="204"/>
    </font>
    <font>
      <b/>
      <i/>
      <sz val="16"/>
      <color theme="1"/>
      <name val="Arial"/>
      <family val="2"/>
      <charset val="204"/>
    </font>
    <font>
      <b/>
      <i/>
      <u/>
      <sz val="11"/>
      <color theme="1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i/>
      <sz val="26"/>
      <name val="Calibri"/>
      <family val="2"/>
      <charset val="204"/>
    </font>
    <font>
      <sz val="18"/>
      <color indexed="8"/>
      <name val="Calibri"/>
      <family val="2"/>
      <charset val="204"/>
    </font>
    <font>
      <sz val="16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6">
    <xf numFmtId="0" fontId="0" fillId="0" borderId="0"/>
    <xf numFmtId="0" fontId="7" fillId="0" borderId="0"/>
    <xf numFmtId="0" fontId="8" fillId="0" borderId="0" applyNumberFormat="0" applyFill="0" applyBorder="0" applyAlignment="0" applyProtection="0"/>
    <xf numFmtId="0" fontId="6" fillId="0" borderId="0"/>
    <xf numFmtId="0" fontId="5" fillId="0" borderId="0"/>
    <xf numFmtId="0" fontId="4" fillId="0" borderId="0"/>
    <xf numFmtId="165" fontId="18" fillId="0" borderId="0"/>
    <xf numFmtId="0" fontId="3" fillId="0" borderId="0"/>
    <xf numFmtId="0" fontId="20" fillId="0" borderId="0"/>
    <xf numFmtId="165" fontId="21" fillId="0" borderId="0"/>
    <xf numFmtId="0" fontId="22" fillId="0" borderId="0">
      <alignment horizontal="center"/>
    </xf>
    <xf numFmtId="0" fontId="22" fillId="0" borderId="0">
      <alignment horizontal="center" textRotation="90"/>
    </xf>
    <xf numFmtId="0" fontId="23" fillId="0" borderId="0"/>
    <xf numFmtId="166" fontId="23" fillId="0" borderId="0"/>
    <xf numFmtId="0" fontId="8" fillId="0" borderId="0" applyNumberFormat="0" applyFill="0" applyBorder="0" applyAlignment="0" applyProtection="0"/>
    <xf numFmtId="0" fontId="2" fillId="0" borderId="0"/>
  </cellStyleXfs>
  <cellXfs count="125">
    <xf numFmtId="0" fontId="0" fillId="0" borderId="0" xfId="0"/>
    <xf numFmtId="0" fontId="7" fillId="0" borderId="0" xfId="1"/>
    <xf numFmtId="0" fontId="7" fillId="0" borderId="0" xfId="1" applyAlignment="1">
      <alignment wrapText="1"/>
    </xf>
    <xf numFmtId="0" fontId="4" fillId="0" borderId="0" xfId="5"/>
    <xf numFmtId="0" fontId="11" fillId="0" borderId="0" xfId="5" applyFont="1"/>
    <xf numFmtId="0" fontId="12" fillId="0" borderId="0" xfId="5" applyFont="1"/>
    <xf numFmtId="0" fontId="10" fillId="0" borderId="0" xfId="5" applyFont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14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9" fillId="0" borderId="17" xfId="0" applyFont="1" applyBorder="1" applyAlignment="1">
      <alignment horizontal="left" vertical="center" wrapText="1"/>
    </xf>
    <xf numFmtId="0" fontId="16" fillId="0" borderId="17" xfId="0" applyFont="1" applyBorder="1" applyAlignment="1">
      <alignment horizontal="center" vertical="center" wrapText="1"/>
    </xf>
    <xf numFmtId="164" fontId="0" fillId="0" borderId="0" xfId="0" applyNumberFormat="1" applyFont="1" applyAlignment="1">
      <alignment vertical="center"/>
    </xf>
    <xf numFmtId="0" fontId="15" fillId="0" borderId="11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/>
    </xf>
    <xf numFmtId="164" fontId="17" fillId="4" borderId="2" xfId="0" applyNumberFormat="1" applyFont="1" applyFill="1" applyBorder="1" applyAlignment="1">
      <alignment horizontal="center" vertical="center"/>
    </xf>
    <xf numFmtId="164" fontId="17" fillId="4" borderId="1" xfId="0" applyNumberFormat="1" applyFont="1" applyFill="1" applyBorder="1" applyAlignment="1">
      <alignment horizontal="center" vertical="center"/>
    </xf>
    <xf numFmtId="164" fontId="17" fillId="0" borderId="17" xfId="0" applyNumberFormat="1" applyFont="1" applyFill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9" fillId="0" borderId="20" xfId="0" applyFont="1" applyBorder="1" applyAlignment="1">
      <alignment horizontal="left" vertical="center" wrapText="1"/>
    </xf>
    <xf numFmtId="164" fontId="17" fillId="0" borderId="20" xfId="0" applyNumberFormat="1" applyFont="1" applyFill="1" applyBorder="1" applyAlignment="1">
      <alignment horizontal="center" vertical="center"/>
    </xf>
    <xf numFmtId="164" fontId="17" fillId="4" borderId="20" xfId="0" applyNumberFormat="1" applyFont="1" applyFill="1" applyBorder="1" applyAlignment="1">
      <alignment horizontal="center" vertical="center"/>
    </xf>
    <xf numFmtId="165" fontId="19" fillId="0" borderId="20" xfId="6" applyFont="1" applyBorder="1" applyAlignment="1">
      <alignment horizontal="center" vertical="center" wrapText="1"/>
    </xf>
    <xf numFmtId="0" fontId="9" fillId="0" borderId="24" xfId="0" applyFont="1" applyBorder="1" applyAlignment="1">
      <alignment horizontal="left" vertical="center" wrapText="1"/>
    </xf>
    <xf numFmtId="0" fontId="14" fillId="0" borderId="25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/>
    </xf>
    <xf numFmtId="0" fontId="15" fillId="0" borderId="23" xfId="0" applyFont="1" applyBorder="1" applyAlignment="1">
      <alignment horizontal="center" vertical="center" wrapText="1"/>
    </xf>
    <xf numFmtId="0" fontId="1" fillId="0" borderId="19" xfId="1" applyFont="1" applyBorder="1" applyAlignment="1">
      <alignment horizontal="center" vertical="center" wrapText="1"/>
    </xf>
    <xf numFmtId="0" fontId="1" fillId="0" borderId="20" xfId="1" applyFont="1" applyBorder="1" applyAlignment="1">
      <alignment wrapText="1"/>
    </xf>
    <xf numFmtId="0" fontId="1" fillId="0" borderId="14" xfId="1" applyFont="1" applyBorder="1" applyAlignment="1">
      <alignment horizontal="center" vertical="center" wrapText="1"/>
    </xf>
    <xf numFmtId="0" fontId="1" fillId="0" borderId="1" xfId="1" applyFont="1" applyBorder="1" applyAlignment="1">
      <alignment wrapText="1"/>
    </xf>
    <xf numFmtId="0" fontId="1" fillId="0" borderId="16" xfId="1" applyFont="1" applyBorder="1" applyAlignment="1">
      <alignment horizontal="center" vertical="center" wrapText="1"/>
    </xf>
    <xf numFmtId="0" fontId="1" fillId="0" borderId="17" xfId="1" applyFont="1" applyBorder="1" applyAlignment="1">
      <alignment wrapText="1"/>
    </xf>
    <xf numFmtId="0" fontId="6" fillId="0" borderId="0" xfId="3" applyAlignment="1">
      <alignment horizontal="left" vertical="center"/>
    </xf>
    <xf numFmtId="0" fontId="0" fillId="0" borderId="0" xfId="0" applyFont="1" applyAlignment="1">
      <alignment vertical="center" wrapText="1"/>
    </xf>
    <xf numFmtId="0" fontId="14" fillId="0" borderId="0" xfId="0" applyFont="1" applyAlignment="1">
      <alignment horizontal="center" vertical="center"/>
    </xf>
    <xf numFmtId="0" fontId="14" fillId="0" borderId="27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/>
    </xf>
    <xf numFmtId="0" fontId="25" fillId="0" borderId="19" xfId="3" applyFont="1" applyFill="1" applyBorder="1" applyAlignment="1">
      <alignment horizontal="center" vertical="center"/>
    </xf>
    <xf numFmtId="0" fontId="25" fillId="0" borderId="14" xfId="3" applyFont="1" applyFill="1" applyBorder="1" applyAlignment="1">
      <alignment horizontal="center" vertical="center"/>
    </xf>
    <xf numFmtId="0" fontId="25" fillId="0" borderId="16" xfId="3" applyFont="1" applyFill="1" applyBorder="1" applyAlignment="1">
      <alignment horizontal="center" vertical="center"/>
    </xf>
    <xf numFmtId="0" fontId="27" fillId="0" borderId="0" xfId="5" applyFont="1"/>
    <xf numFmtId="0" fontId="0" fillId="3" borderId="29" xfId="0" applyFont="1" applyFill="1" applyBorder="1" applyAlignment="1">
      <alignment horizontal="center" vertical="center"/>
    </xf>
    <xf numFmtId="0" fontId="0" fillId="3" borderId="30" xfId="0" applyFont="1" applyFill="1" applyBorder="1" applyAlignment="1">
      <alignment horizontal="center" vertical="center"/>
    </xf>
    <xf numFmtId="0" fontId="0" fillId="6" borderId="29" xfId="0" applyFont="1" applyFill="1" applyBorder="1" applyAlignment="1">
      <alignment horizontal="center" vertical="center"/>
    </xf>
    <xf numFmtId="0" fontId="0" fillId="6" borderId="30" xfId="0" applyFont="1" applyFill="1" applyBorder="1" applyAlignment="1">
      <alignment horizontal="center" vertical="center"/>
    </xf>
    <xf numFmtId="0" fontId="0" fillId="7" borderId="29" xfId="0" applyFont="1" applyFill="1" applyBorder="1" applyAlignment="1">
      <alignment horizontal="center" vertical="center"/>
    </xf>
    <xf numFmtId="0" fontId="0" fillId="7" borderId="31" xfId="0" applyFont="1" applyFill="1" applyBorder="1" applyAlignment="1">
      <alignment horizontal="center" vertical="center"/>
    </xf>
    <xf numFmtId="0" fontId="3" fillId="0" borderId="0" xfId="7" applyAlignment="1">
      <alignment horizontal="center"/>
    </xf>
    <xf numFmtId="0" fontId="0" fillId="7" borderId="32" xfId="0" applyFont="1" applyFill="1" applyBorder="1" applyAlignment="1">
      <alignment horizontal="center" vertical="center"/>
    </xf>
    <xf numFmtId="0" fontId="0" fillId="7" borderId="30" xfId="0" applyFont="1" applyFill="1" applyBorder="1" applyAlignment="1">
      <alignment horizontal="center" vertical="center"/>
    </xf>
    <xf numFmtId="0" fontId="0" fillId="7" borderId="10" xfId="0" applyFont="1" applyFill="1" applyBorder="1" applyAlignment="1">
      <alignment horizontal="center" vertical="center"/>
    </xf>
    <xf numFmtId="0" fontId="0" fillId="8" borderId="30" xfId="0" applyFont="1" applyFill="1" applyBorder="1" applyAlignment="1">
      <alignment horizontal="center" vertical="center"/>
    </xf>
    <xf numFmtId="165" fontId="19" fillId="0" borderId="2" xfId="6" applyFont="1" applyBorder="1" applyAlignment="1">
      <alignment horizontal="center" vertical="center" wrapText="1"/>
    </xf>
    <xf numFmtId="164" fontId="12" fillId="0" borderId="0" xfId="5" applyNumberFormat="1" applyFont="1"/>
    <xf numFmtId="0" fontId="0" fillId="4" borderId="19" xfId="0" applyFont="1" applyFill="1" applyBorder="1" applyAlignment="1">
      <alignment horizontal="center" vertical="center"/>
    </xf>
    <xf numFmtId="0" fontId="16" fillId="4" borderId="20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left" vertical="center" wrapText="1"/>
    </xf>
    <xf numFmtId="0" fontId="0" fillId="4" borderId="0" xfId="0" applyFont="1" applyFill="1" applyAlignment="1">
      <alignment vertical="center"/>
    </xf>
    <xf numFmtId="0" fontId="0" fillId="4" borderId="14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left" vertical="center" wrapText="1"/>
    </xf>
    <xf numFmtId="0" fontId="16" fillId="4" borderId="17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left" vertical="center" wrapText="1"/>
    </xf>
    <xf numFmtId="0" fontId="15" fillId="4" borderId="25" xfId="0" applyFont="1" applyFill="1" applyBorder="1" applyAlignment="1">
      <alignment horizontal="center" vertical="center" wrapText="1"/>
    </xf>
    <xf numFmtId="0" fontId="14" fillId="4" borderId="25" xfId="0" applyFont="1" applyFill="1" applyBorder="1" applyAlignment="1">
      <alignment horizontal="center" vertical="center" wrapText="1"/>
    </xf>
    <xf numFmtId="0" fontId="0" fillId="4" borderId="16" xfId="0" applyFont="1" applyFill="1" applyBorder="1" applyAlignment="1">
      <alignment horizontal="center" vertical="center"/>
    </xf>
    <xf numFmtId="0" fontId="4" fillId="4" borderId="0" xfId="5" applyFill="1"/>
    <xf numFmtId="0" fontId="0" fillId="7" borderId="1" xfId="0" applyFont="1" applyFill="1" applyBorder="1" applyAlignment="1">
      <alignment horizontal="center" vertical="center"/>
    </xf>
    <xf numFmtId="0" fontId="0" fillId="7" borderId="0" xfId="0" applyFont="1" applyFill="1" applyAlignment="1">
      <alignment vertical="center"/>
    </xf>
    <xf numFmtId="0" fontId="9" fillId="4" borderId="25" xfId="0" applyFont="1" applyFill="1" applyBorder="1" applyAlignment="1">
      <alignment horizontal="center" vertical="center" wrapText="1"/>
    </xf>
    <xf numFmtId="0" fontId="0" fillId="4" borderId="33" xfId="0" applyFont="1" applyFill="1" applyBorder="1" applyAlignment="1">
      <alignment horizontal="center" vertical="center"/>
    </xf>
    <xf numFmtId="0" fontId="16" fillId="0" borderId="34" xfId="0" applyFont="1" applyBorder="1" applyAlignment="1">
      <alignment horizontal="center" vertical="center" wrapText="1"/>
    </xf>
    <xf numFmtId="0" fontId="9" fillId="0" borderId="34" xfId="0" applyFont="1" applyBorder="1" applyAlignment="1">
      <alignment horizontal="left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4" fillId="0" borderId="1" xfId="2" applyFont="1" applyBorder="1" applyAlignment="1">
      <alignment horizontal="left" vertical="center"/>
    </xf>
    <xf numFmtId="0" fontId="24" fillId="0" borderId="15" xfId="2" applyFont="1" applyBorder="1" applyAlignment="1">
      <alignment horizontal="left" vertical="center"/>
    </xf>
    <xf numFmtId="0" fontId="24" fillId="0" borderId="1" xfId="2" quotePrefix="1" applyFont="1" applyBorder="1" applyAlignment="1">
      <alignment horizontal="left" vertical="center"/>
    </xf>
    <xf numFmtId="0" fontId="24" fillId="0" borderId="15" xfId="2" quotePrefix="1" applyFont="1" applyBorder="1" applyAlignment="1">
      <alignment horizontal="left" vertical="center"/>
    </xf>
    <xf numFmtId="0" fontId="24" fillId="0" borderId="17" xfId="2" applyFont="1" applyBorder="1" applyAlignment="1">
      <alignment horizontal="left" vertical="center"/>
    </xf>
    <xf numFmtId="0" fontId="24" fillId="0" borderId="18" xfId="2" applyFont="1" applyBorder="1" applyAlignment="1">
      <alignment horizontal="left" vertical="center"/>
    </xf>
    <xf numFmtId="0" fontId="26" fillId="3" borderId="25" xfId="3" applyFont="1" applyFill="1" applyBorder="1" applyAlignment="1">
      <alignment horizontal="center" vertical="center"/>
    </xf>
    <xf numFmtId="0" fontId="26" fillId="3" borderId="23" xfId="3" applyFont="1" applyFill="1" applyBorder="1" applyAlignment="1">
      <alignment horizontal="center" vertical="center"/>
    </xf>
    <xf numFmtId="0" fontId="26" fillId="3" borderId="26" xfId="3" applyFont="1" applyFill="1" applyBorder="1" applyAlignment="1">
      <alignment horizontal="center" vertical="center"/>
    </xf>
    <xf numFmtId="0" fontId="24" fillId="0" borderId="20" xfId="2" applyFont="1" applyBorder="1" applyAlignment="1">
      <alignment horizontal="left" vertical="center"/>
    </xf>
    <xf numFmtId="0" fontId="24" fillId="0" borderId="21" xfId="2" applyFont="1" applyBorder="1" applyAlignment="1">
      <alignment horizontal="left" vertical="center"/>
    </xf>
    <xf numFmtId="164" fontId="16" fillId="0" borderId="17" xfId="1" applyNumberFormat="1" applyFont="1" applyFill="1" applyBorder="1" applyAlignment="1">
      <alignment horizontal="center" vertical="center" wrapText="1"/>
    </xf>
    <xf numFmtId="164" fontId="16" fillId="0" borderId="18" xfId="1" applyNumberFormat="1" applyFont="1" applyFill="1" applyBorder="1" applyAlignment="1">
      <alignment horizontal="center" vertical="center" wrapText="1"/>
    </xf>
    <xf numFmtId="164" fontId="16" fillId="0" borderId="1" xfId="1" applyNumberFormat="1" applyFont="1" applyFill="1" applyBorder="1" applyAlignment="1">
      <alignment horizontal="center" vertical="center" wrapText="1"/>
    </xf>
    <xf numFmtId="164" fontId="16" fillId="0" borderId="15" xfId="1" applyNumberFormat="1" applyFont="1" applyFill="1" applyBorder="1" applyAlignment="1">
      <alignment horizontal="center" vertical="center" wrapText="1"/>
    </xf>
    <xf numFmtId="0" fontId="16" fillId="0" borderId="17" xfId="1" applyFont="1" applyFill="1" applyBorder="1" applyAlignment="1">
      <alignment horizontal="center" vertical="center" wrapText="1"/>
    </xf>
    <xf numFmtId="0" fontId="16" fillId="0" borderId="1" xfId="1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6" fillId="0" borderId="20" xfId="1" applyFont="1" applyFill="1" applyBorder="1" applyAlignment="1">
      <alignment horizontal="center" vertical="center" wrapText="1"/>
    </xf>
    <xf numFmtId="164" fontId="16" fillId="0" borderId="20" xfId="1" applyNumberFormat="1" applyFont="1" applyFill="1" applyBorder="1" applyAlignment="1">
      <alignment horizontal="center" vertical="center" wrapText="1"/>
    </xf>
    <xf numFmtId="164" fontId="16" fillId="0" borderId="21" xfId="1" applyNumberFormat="1" applyFont="1" applyFill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/>
    </xf>
    <xf numFmtId="0" fontId="14" fillId="0" borderId="28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</cellXfs>
  <cellStyles count="16">
    <cellStyle name="Excel Built-in Hyperlink" xfId="9"/>
    <cellStyle name="Excel Built-in Normal" xfId="6"/>
    <cellStyle name="Heading" xfId="10"/>
    <cellStyle name="Heading1" xfId="11"/>
    <cellStyle name="Result" xfId="12"/>
    <cellStyle name="Result2" xfId="13"/>
    <cellStyle name="Гиперссылка" xfId="2" builtinId="8"/>
    <cellStyle name="Гиперссылка 2" xfId="14"/>
    <cellStyle name="Обычный" xfId="0" builtinId="0"/>
    <cellStyle name="Обычный 2" xfId="1"/>
    <cellStyle name="Обычный 2 2" xfId="15"/>
    <cellStyle name="Обычный 3" xfId="3"/>
    <cellStyle name="Обычный 4" xfId="4"/>
    <cellStyle name="Обычный 5" xfId="5"/>
    <cellStyle name="Обычный 5 2" xfId="7"/>
    <cellStyle name="Обычный 6" xfId="8"/>
  </cellStyles>
  <dxfs count="0"/>
  <tableStyles count="0" defaultTableStyle="TableStyleMedium2" defaultPivotStyle="PivotStyleMedium9"/>
  <colors>
    <mruColors>
      <color rgb="FFFF5050"/>
      <color rgb="FFFFFF00"/>
      <color rgb="FFFF9999"/>
      <color rgb="FFCC9900"/>
      <color rgb="FFCC0066"/>
      <color rgb="FF0099FF"/>
      <color rgb="FFFF3399"/>
      <color rgb="FF6699FF"/>
      <color rgb="FFFFCC99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64.png"/><Relationship Id="rId1" Type="http://schemas.openxmlformats.org/officeDocument/2006/relationships/image" Target="../media/image1.jpeg"/><Relationship Id="rId5" Type="http://schemas.openxmlformats.org/officeDocument/2006/relationships/image" Target="../media/image67.jpg"/><Relationship Id="rId4" Type="http://schemas.openxmlformats.org/officeDocument/2006/relationships/image" Target="../media/image6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jpg"/><Relationship Id="rId2" Type="http://schemas.openxmlformats.org/officeDocument/2006/relationships/image" Target="../media/image68.jpg"/><Relationship Id="rId1" Type="http://schemas.openxmlformats.org/officeDocument/2006/relationships/image" Target="../media/image1.jpeg"/><Relationship Id="rId6" Type="http://schemas.openxmlformats.org/officeDocument/2006/relationships/image" Target="../media/image72.jpg"/><Relationship Id="rId5" Type="http://schemas.openxmlformats.org/officeDocument/2006/relationships/image" Target="../media/image71.jpg"/><Relationship Id="rId4" Type="http://schemas.openxmlformats.org/officeDocument/2006/relationships/image" Target="../media/image70.jp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png"/><Relationship Id="rId3" Type="http://schemas.openxmlformats.org/officeDocument/2006/relationships/image" Target="../media/image73.jpg"/><Relationship Id="rId7" Type="http://schemas.openxmlformats.org/officeDocument/2006/relationships/image" Target="../media/image77.jpg"/><Relationship Id="rId2" Type="http://schemas.openxmlformats.org/officeDocument/2006/relationships/image" Target="../media/image49.jpeg"/><Relationship Id="rId1" Type="http://schemas.openxmlformats.org/officeDocument/2006/relationships/image" Target="../media/image1.jpeg"/><Relationship Id="rId6" Type="http://schemas.openxmlformats.org/officeDocument/2006/relationships/image" Target="../media/image76.png"/><Relationship Id="rId5" Type="http://schemas.openxmlformats.org/officeDocument/2006/relationships/image" Target="../media/image75.png"/><Relationship Id="rId4" Type="http://schemas.openxmlformats.org/officeDocument/2006/relationships/image" Target="../media/image7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jpg"/><Relationship Id="rId7" Type="http://schemas.openxmlformats.org/officeDocument/2006/relationships/image" Target="../media/image84.jpg"/><Relationship Id="rId2" Type="http://schemas.openxmlformats.org/officeDocument/2006/relationships/image" Target="../media/image79.jpg"/><Relationship Id="rId1" Type="http://schemas.openxmlformats.org/officeDocument/2006/relationships/image" Target="../media/image1.jpeg"/><Relationship Id="rId6" Type="http://schemas.openxmlformats.org/officeDocument/2006/relationships/image" Target="../media/image83.jpg"/><Relationship Id="rId5" Type="http://schemas.openxmlformats.org/officeDocument/2006/relationships/image" Target="../media/image82.jpg"/><Relationship Id="rId4" Type="http://schemas.openxmlformats.org/officeDocument/2006/relationships/image" Target="../media/image8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jpg"/><Relationship Id="rId2" Type="http://schemas.openxmlformats.org/officeDocument/2006/relationships/image" Target="../media/image85.jpg"/><Relationship Id="rId1" Type="http://schemas.openxmlformats.org/officeDocument/2006/relationships/image" Target="../media/image1.jpeg"/><Relationship Id="rId4" Type="http://schemas.openxmlformats.org/officeDocument/2006/relationships/image" Target="../media/image87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9.jpg"/><Relationship Id="rId2" Type="http://schemas.openxmlformats.org/officeDocument/2006/relationships/image" Target="../media/image88.jpg"/><Relationship Id="rId1" Type="http://schemas.openxmlformats.org/officeDocument/2006/relationships/image" Target="../media/image1.jpeg"/><Relationship Id="rId4" Type="http://schemas.openxmlformats.org/officeDocument/2006/relationships/image" Target="../media/image90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image" Target="../media/image13.pn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12" Type="http://schemas.openxmlformats.org/officeDocument/2006/relationships/image" Target="../media/image12.pn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11" Type="http://schemas.openxmlformats.org/officeDocument/2006/relationships/image" Target="../media/image11.jpeg"/><Relationship Id="rId5" Type="http://schemas.openxmlformats.org/officeDocument/2006/relationships/image" Target="../media/image6.jpg"/><Relationship Id="rId10" Type="http://schemas.openxmlformats.org/officeDocument/2006/relationships/image" Target="../media/image10.jpeg"/><Relationship Id="rId4" Type="http://schemas.openxmlformats.org/officeDocument/2006/relationships/image" Target="../media/image5.jp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26.jp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2" Type="http://schemas.openxmlformats.org/officeDocument/2006/relationships/image" Target="../media/image1.jpeg"/><Relationship Id="rId1" Type="http://schemas.openxmlformats.org/officeDocument/2006/relationships/image" Target="../media/image15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5" Type="http://schemas.openxmlformats.org/officeDocument/2006/relationships/image" Target="../media/image18.png"/><Relationship Id="rId10" Type="http://schemas.openxmlformats.org/officeDocument/2006/relationships/image" Target="../media/image23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2" Type="http://schemas.openxmlformats.org/officeDocument/2006/relationships/image" Target="../media/image27.png"/><Relationship Id="rId1" Type="http://schemas.openxmlformats.org/officeDocument/2006/relationships/image" Target="../media/image1.jpe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Relationship Id="rId9" Type="http://schemas.openxmlformats.org/officeDocument/2006/relationships/image" Target="../media/image3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3" Type="http://schemas.openxmlformats.org/officeDocument/2006/relationships/image" Target="../media/image36.png"/><Relationship Id="rId7" Type="http://schemas.openxmlformats.org/officeDocument/2006/relationships/image" Target="../media/image40.png"/><Relationship Id="rId2" Type="http://schemas.openxmlformats.org/officeDocument/2006/relationships/image" Target="../media/image35.png"/><Relationship Id="rId1" Type="http://schemas.openxmlformats.org/officeDocument/2006/relationships/image" Target="../media/image1.jpeg"/><Relationship Id="rId6" Type="http://schemas.openxmlformats.org/officeDocument/2006/relationships/image" Target="../media/image39.jpeg"/><Relationship Id="rId5" Type="http://schemas.openxmlformats.org/officeDocument/2006/relationships/image" Target="../media/image38.png"/><Relationship Id="rId10" Type="http://schemas.openxmlformats.org/officeDocument/2006/relationships/image" Target="../media/image43.jpg"/><Relationship Id="rId4" Type="http://schemas.openxmlformats.org/officeDocument/2006/relationships/image" Target="../media/image37.jpeg"/><Relationship Id="rId9" Type="http://schemas.openxmlformats.org/officeDocument/2006/relationships/image" Target="../media/image4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1.jpeg"/><Relationship Id="rId6" Type="http://schemas.openxmlformats.org/officeDocument/2006/relationships/image" Target="../media/image48.png"/><Relationship Id="rId5" Type="http://schemas.openxmlformats.org/officeDocument/2006/relationships/image" Target="../media/image47.png"/><Relationship Id="rId4" Type="http://schemas.openxmlformats.org/officeDocument/2006/relationships/image" Target="../media/image4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jpg"/><Relationship Id="rId3" Type="http://schemas.openxmlformats.org/officeDocument/2006/relationships/image" Target="../media/image50.png"/><Relationship Id="rId7" Type="http://schemas.openxmlformats.org/officeDocument/2006/relationships/image" Target="../media/image54.png"/><Relationship Id="rId12" Type="http://schemas.openxmlformats.org/officeDocument/2006/relationships/image" Target="../media/image59.jpg"/><Relationship Id="rId2" Type="http://schemas.openxmlformats.org/officeDocument/2006/relationships/image" Target="../media/image49.jpeg"/><Relationship Id="rId1" Type="http://schemas.openxmlformats.org/officeDocument/2006/relationships/image" Target="../media/image1.jpeg"/><Relationship Id="rId6" Type="http://schemas.openxmlformats.org/officeDocument/2006/relationships/image" Target="../media/image53.png"/><Relationship Id="rId11" Type="http://schemas.openxmlformats.org/officeDocument/2006/relationships/image" Target="../media/image58.jpg"/><Relationship Id="rId5" Type="http://schemas.openxmlformats.org/officeDocument/2006/relationships/image" Target="../media/image52.png"/><Relationship Id="rId10" Type="http://schemas.openxmlformats.org/officeDocument/2006/relationships/image" Target="../media/image57.jpg"/><Relationship Id="rId4" Type="http://schemas.openxmlformats.org/officeDocument/2006/relationships/image" Target="../media/image51.png"/><Relationship Id="rId9" Type="http://schemas.openxmlformats.org/officeDocument/2006/relationships/image" Target="../media/image56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60.png"/><Relationship Id="rId1" Type="http://schemas.openxmlformats.org/officeDocument/2006/relationships/image" Target="../media/image1.jpeg"/><Relationship Id="rId5" Type="http://schemas.openxmlformats.org/officeDocument/2006/relationships/image" Target="../media/image63.jpg"/><Relationship Id="rId4" Type="http://schemas.openxmlformats.org/officeDocument/2006/relationships/image" Target="../media/image62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64.png"/><Relationship Id="rId1" Type="http://schemas.openxmlformats.org/officeDocument/2006/relationships/image" Target="../media/image1.jpeg"/><Relationship Id="rId5" Type="http://schemas.openxmlformats.org/officeDocument/2006/relationships/image" Target="../media/image67.jpg"/><Relationship Id="rId4" Type="http://schemas.openxmlformats.org/officeDocument/2006/relationships/image" Target="../media/image6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205681</xdr:colOff>
      <xdr:row>0</xdr:row>
      <xdr:rowOff>68036</xdr:rowOff>
    </xdr:from>
    <xdr:ext cx="1634218" cy="701989"/>
    <xdr:pic>
      <xdr:nvPicPr>
        <xdr:cNvPr id="2" name="Рисунок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681" y="68036"/>
          <a:ext cx="1634218" cy="701989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232682</xdr:colOff>
      <xdr:row>0</xdr:row>
      <xdr:rowOff>58511</xdr:rowOff>
    </xdr:from>
    <xdr:ext cx="1634218" cy="701989"/>
    <xdr:pic>
      <xdr:nvPicPr>
        <xdr:cNvPr id="2" name="Рисунок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82" y="58511"/>
          <a:ext cx="1634218" cy="701989"/>
        </a:xfrm>
        <a:prstGeom prst="rect">
          <a:avLst/>
        </a:prstGeom>
      </xdr:spPr>
    </xdr:pic>
    <xdr:clientData/>
  </xdr:oneCellAnchor>
  <xdr:twoCellAnchor editAs="oneCell">
    <xdr:from>
      <xdr:col>2</xdr:col>
      <xdr:colOff>2171700</xdr:colOff>
      <xdr:row>2</xdr:row>
      <xdr:rowOff>47625</xdr:rowOff>
    </xdr:from>
    <xdr:to>
      <xdr:col>2</xdr:col>
      <xdr:colOff>3454471</xdr:colOff>
      <xdr:row>2</xdr:row>
      <xdr:rowOff>1307625</xdr:rowOff>
    </xdr:to>
    <xdr:pic>
      <xdr:nvPicPr>
        <xdr:cNvPr id="7" name="Picture 1" descr="SV-SPIRE-16-580-NS top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0475" y="1352550"/>
          <a:ext cx="1282771" cy="12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4145641</xdr:colOff>
      <xdr:row>1</xdr:row>
      <xdr:rowOff>147864</xdr:rowOff>
    </xdr:from>
    <xdr:to>
      <xdr:col>3</xdr:col>
      <xdr:colOff>1318887</xdr:colOff>
      <xdr:row>2</xdr:row>
      <xdr:rowOff>1217364</xdr:rowOff>
    </xdr:to>
    <xdr:pic>
      <xdr:nvPicPr>
        <xdr:cNvPr id="8" name="Picture 2" descr="SV-SPIRE-нет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1070" y="1408793"/>
          <a:ext cx="1944817" cy="12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231774</xdr:colOff>
      <xdr:row>2</xdr:row>
      <xdr:rowOff>44450</xdr:rowOff>
    </xdr:from>
    <xdr:to>
      <xdr:col>2</xdr:col>
      <xdr:colOff>128115</xdr:colOff>
      <xdr:row>2</xdr:row>
      <xdr:rowOff>1304450</xdr:rowOff>
    </xdr:to>
    <xdr:pic>
      <xdr:nvPicPr>
        <xdr:cNvPr id="9" name="Picture 3" descr="SV-SPIRE-подвес top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774" y="1349375"/>
          <a:ext cx="1525116" cy="12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571501</xdr:colOff>
      <xdr:row>2</xdr:row>
      <xdr:rowOff>57150</xdr:rowOff>
    </xdr:from>
    <xdr:to>
      <xdr:col>2</xdr:col>
      <xdr:colOff>1859012</xdr:colOff>
      <xdr:row>2</xdr:row>
      <xdr:rowOff>1317150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0276" y="1362075"/>
          <a:ext cx="1287511" cy="126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232682</xdr:colOff>
      <xdr:row>0</xdr:row>
      <xdr:rowOff>58511</xdr:rowOff>
    </xdr:from>
    <xdr:ext cx="1634218" cy="701989"/>
    <xdr:pic>
      <xdr:nvPicPr>
        <xdr:cNvPr id="2" name="Рисунок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82" y="58511"/>
          <a:ext cx="1634218" cy="701989"/>
        </a:xfrm>
        <a:prstGeom prst="rect">
          <a:avLst/>
        </a:prstGeom>
      </xdr:spPr>
    </xdr:pic>
    <xdr:clientData/>
  </xdr:oneCellAnchor>
  <xdr:twoCellAnchor editAs="oneCell">
    <xdr:from>
      <xdr:col>1</xdr:col>
      <xdr:colOff>542930</xdr:colOff>
      <xdr:row>3</xdr:row>
      <xdr:rowOff>47625</xdr:rowOff>
    </xdr:from>
    <xdr:to>
      <xdr:col>2</xdr:col>
      <xdr:colOff>1052348</xdr:colOff>
      <xdr:row>3</xdr:row>
      <xdr:rowOff>1307625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30" y="1352550"/>
          <a:ext cx="1757193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2140726</xdr:colOff>
      <xdr:row>3</xdr:row>
      <xdr:rowOff>45682</xdr:rowOff>
    </xdr:from>
    <xdr:to>
      <xdr:col>3</xdr:col>
      <xdr:colOff>312241</xdr:colOff>
      <xdr:row>3</xdr:row>
      <xdr:rowOff>1305682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9501" y="1350607"/>
          <a:ext cx="2895915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14</xdr:row>
      <xdr:rowOff>47625</xdr:rowOff>
    </xdr:from>
    <xdr:to>
      <xdr:col>1</xdr:col>
      <xdr:colOff>1204293</xdr:colOff>
      <xdr:row>14</xdr:row>
      <xdr:rowOff>1307625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11515725"/>
          <a:ext cx="1404317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4556768</xdr:colOff>
      <xdr:row>14</xdr:row>
      <xdr:rowOff>7802</xdr:rowOff>
    </xdr:from>
    <xdr:to>
      <xdr:col>3</xdr:col>
      <xdr:colOff>1491722</xdr:colOff>
      <xdr:row>14</xdr:row>
      <xdr:rowOff>1267802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197" y="11573873"/>
          <a:ext cx="1869811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733425</xdr:colOff>
      <xdr:row>14</xdr:row>
      <xdr:rowOff>57150</xdr:rowOff>
    </xdr:from>
    <xdr:to>
      <xdr:col>2</xdr:col>
      <xdr:colOff>3157175</xdr:colOff>
      <xdr:row>14</xdr:row>
      <xdr:rowOff>1317150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11525250"/>
          <a:ext cx="2423750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762000</xdr:colOff>
      <xdr:row>14</xdr:row>
      <xdr:rowOff>57150</xdr:rowOff>
    </xdr:from>
    <xdr:to>
      <xdr:col>2</xdr:col>
      <xdr:colOff>3185750</xdr:colOff>
      <xdr:row>14</xdr:row>
      <xdr:rowOff>1317150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11525250"/>
          <a:ext cx="2423750" cy="126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232682</xdr:colOff>
      <xdr:row>0</xdr:row>
      <xdr:rowOff>58511</xdr:rowOff>
    </xdr:from>
    <xdr:ext cx="1634218" cy="701989"/>
    <xdr:pic>
      <xdr:nvPicPr>
        <xdr:cNvPr id="2" name="Рисунок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82" y="58511"/>
          <a:ext cx="1634218" cy="701989"/>
        </a:xfrm>
        <a:prstGeom prst="rect">
          <a:avLst/>
        </a:prstGeom>
      </xdr:spPr>
    </xdr:pic>
    <xdr:clientData/>
  </xdr:oneCellAnchor>
  <xdr:twoCellAnchor editAs="oneCell">
    <xdr:from>
      <xdr:col>2</xdr:col>
      <xdr:colOff>4807857</xdr:colOff>
      <xdr:row>16</xdr:row>
      <xdr:rowOff>67129</xdr:rowOff>
    </xdr:from>
    <xdr:to>
      <xdr:col>3</xdr:col>
      <xdr:colOff>1108637</xdr:colOff>
      <xdr:row>16</xdr:row>
      <xdr:rowOff>1327129</xdr:rowOff>
    </xdr:to>
    <xdr:pic>
      <xdr:nvPicPr>
        <xdr:cNvPr id="4" name="Picture 12" descr="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9928" y="16549915"/>
          <a:ext cx="1380780" cy="12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</xdr:row>
      <xdr:rowOff>57150</xdr:rowOff>
    </xdr:from>
    <xdr:to>
      <xdr:col>1</xdr:col>
      <xdr:colOff>1362900</xdr:colOff>
      <xdr:row>2</xdr:row>
      <xdr:rowOff>1317150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362075"/>
          <a:ext cx="1496250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2038350</xdr:colOff>
      <xdr:row>2</xdr:row>
      <xdr:rowOff>99200</xdr:rowOff>
    </xdr:from>
    <xdr:to>
      <xdr:col>2</xdr:col>
      <xdr:colOff>3426046</xdr:colOff>
      <xdr:row>2</xdr:row>
      <xdr:rowOff>1295400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52925" y="1404125"/>
          <a:ext cx="1387696" cy="119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61100</xdr:colOff>
      <xdr:row>16</xdr:row>
      <xdr:rowOff>62725</xdr:rowOff>
    </xdr:from>
    <xdr:to>
      <xdr:col>1</xdr:col>
      <xdr:colOff>1649286</xdr:colOff>
      <xdr:row>16</xdr:row>
      <xdr:rowOff>1322725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100" y="14616925"/>
          <a:ext cx="1588186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547651</xdr:colOff>
      <xdr:row>16</xdr:row>
      <xdr:rowOff>76200</xdr:rowOff>
    </xdr:from>
    <xdr:to>
      <xdr:col>2</xdr:col>
      <xdr:colOff>2933908</xdr:colOff>
      <xdr:row>16</xdr:row>
      <xdr:rowOff>1336200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2226" y="14630400"/>
          <a:ext cx="2386257" cy="1260000"/>
        </a:xfrm>
        <a:prstGeom prst="rect">
          <a:avLst/>
        </a:prstGeom>
      </xdr:spPr>
    </xdr:pic>
    <xdr:clientData/>
  </xdr:twoCellAnchor>
  <xdr:oneCellAnchor>
    <xdr:from>
      <xdr:col>0</xdr:col>
      <xdr:colOff>232682</xdr:colOff>
      <xdr:row>0</xdr:row>
      <xdr:rowOff>58511</xdr:rowOff>
    </xdr:from>
    <xdr:ext cx="1634218" cy="701989"/>
    <xdr:pic>
      <xdr:nvPicPr>
        <xdr:cNvPr id="9" name="Рисунок 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82" y="58511"/>
          <a:ext cx="1634218" cy="701989"/>
        </a:xfrm>
        <a:prstGeom prst="rect">
          <a:avLst/>
        </a:prstGeom>
      </xdr:spPr>
    </xdr:pic>
    <xdr:clientData/>
  </xdr:oneCellAnchor>
  <xdr:twoCellAnchor editAs="oneCell">
    <xdr:from>
      <xdr:col>1</xdr:col>
      <xdr:colOff>1737500</xdr:colOff>
      <xdr:row>2</xdr:row>
      <xdr:rowOff>61100</xdr:rowOff>
    </xdr:from>
    <xdr:to>
      <xdr:col>2</xdr:col>
      <xdr:colOff>1536425</xdr:colOff>
      <xdr:row>2</xdr:row>
      <xdr:rowOff>1321100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8500" y="1366025"/>
          <a:ext cx="1732500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4765222</xdr:colOff>
      <xdr:row>2</xdr:row>
      <xdr:rowOff>40080</xdr:rowOff>
    </xdr:from>
    <xdr:to>
      <xdr:col>3</xdr:col>
      <xdr:colOff>1055461</xdr:colOff>
      <xdr:row>2</xdr:row>
      <xdr:rowOff>1304018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7293" y="1455223"/>
          <a:ext cx="1370239" cy="1263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142875</xdr:colOff>
      <xdr:row>28</xdr:row>
      <xdr:rowOff>76200</xdr:rowOff>
    </xdr:from>
    <xdr:ext cx="1515300" cy="1260000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365250"/>
          <a:ext cx="1515300" cy="1260000"/>
        </a:xfrm>
        <a:prstGeom prst="rect">
          <a:avLst/>
        </a:prstGeom>
      </xdr:spPr>
    </xdr:pic>
    <xdr:clientData/>
  </xdr:oneCellAnchor>
  <xdr:oneCellAnchor>
    <xdr:from>
      <xdr:col>2</xdr:col>
      <xdr:colOff>2085975</xdr:colOff>
      <xdr:row>28</xdr:row>
      <xdr:rowOff>61100</xdr:rowOff>
    </xdr:from>
    <xdr:ext cx="1387696" cy="1196200"/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11675" y="1350150"/>
          <a:ext cx="1387696" cy="119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213500</xdr:colOff>
      <xdr:row>28</xdr:row>
      <xdr:rowOff>80150</xdr:rowOff>
    </xdr:from>
    <xdr:ext cx="1732500" cy="1260000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9200" y="1369200"/>
          <a:ext cx="1732500" cy="1260000"/>
        </a:xfrm>
        <a:prstGeom prst="rect">
          <a:avLst/>
        </a:prstGeom>
      </xdr:spPr>
    </xdr:pic>
    <xdr:clientData/>
  </xdr:oneCellAnchor>
  <xdr:oneCellAnchor>
    <xdr:from>
      <xdr:col>2</xdr:col>
      <xdr:colOff>4999264</xdr:colOff>
      <xdr:row>28</xdr:row>
      <xdr:rowOff>85437</xdr:rowOff>
    </xdr:from>
    <xdr:ext cx="1355725" cy="1263938"/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1335" y="26437937"/>
          <a:ext cx="1355725" cy="1263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232682</xdr:colOff>
      <xdr:row>0</xdr:row>
      <xdr:rowOff>58511</xdr:rowOff>
    </xdr:from>
    <xdr:ext cx="1634218" cy="701989"/>
    <xdr:pic>
      <xdr:nvPicPr>
        <xdr:cNvPr id="2" name="Рисунок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82" y="58511"/>
          <a:ext cx="1634218" cy="701989"/>
        </a:xfrm>
        <a:prstGeom prst="rect">
          <a:avLst/>
        </a:prstGeom>
      </xdr:spPr>
    </xdr:pic>
    <xdr:clientData/>
  </xdr:oneCellAnchor>
  <xdr:twoCellAnchor editAs="oneCell">
    <xdr:from>
      <xdr:col>1</xdr:col>
      <xdr:colOff>685800</xdr:colOff>
      <xdr:row>2</xdr:row>
      <xdr:rowOff>47625</xdr:rowOff>
    </xdr:from>
    <xdr:to>
      <xdr:col>2</xdr:col>
      <xdr:colOff>1514889</xdr:colOff>
      <xdr:row>2</xdr:row>
      <xdr:rowOff>1307625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352550"/>
          <a:ext cx="2076864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11</xdr:row>
      <xdr:rowOff>50025</xdr:rowOff>
    </xdr:from>
    <xdr:to>
      <xdr:col>2</xdr:col>
      <xdr:colOff>2029709</xdr:colOff>
      <xdr:row>11</xdr:row>
      <xdr:rowOff>1310025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8432025"/>
          <a:ext cx="1848734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4648067</xdr:colOff>
      <xdr:row>11</xdr:row>
      <xdr:rowOff>47625</xdr:rowOff>
    </xdr:from>
    <xdr:to>
      <xdr:col>3</xdr:col>
      <xdr:colOff>1441751</xdr:colOff>
      <xdr:row>11</xdr:row>
      <xdr:rowOff>1307625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496" y="7513411"/>
          <a:ext cx="1846469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11</xdr:row>
      <xdr:rowOff>47625</xdr:rowOff>
    </xdr:from>
    <xdr:to>
      <xdr:col>2</xdr:col>
      <xdr:colOff>125475</xdr:colOff>
      <xdr:row>11</xdr:row>
      <xdr:rowOff>1307625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429625"/>
          <a:ext cx="1659000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2124075</xdr:colOff>
      <xdr:row>11</xdr:row>
      <xdr:rowOff>57149</xdr:rowOff>
    </xdr:from>
    <xdr:to>
      <xdr:col>2</xdr:col>
      <xdr:colOff>3990704</xdr:colOff>
      <xdr:row>11</xdr:row>
      <xdr:rowOff>1317149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50" y="8439149"/>
          <a:ext cx="1692458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2466975</xdr:colOff>
      <xdr:row>2</xdr:row>
      <xdr:rowOff>47625</xdr:rowOff>
    </xdr:from>
    <xdr:to>
      <xdr:col>2</xdr:col>
      <xdr:colOff>4761198</xdr:colOff>
      <xdr:row>2</xdr:row>
      <xdr:rowOff>1307625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352550"/>
          <a:ext cx="2081498" cy="1260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232682</xdr:colOff>
      <xdr:row>0</xdr:row>
      <xdr:rowOff>58511</xdr:rowOff>
    </xdr:from>
    <xdr:ext cx="1634218" cy="701989"/>
    <xdr:pic>
      <xdr:nvPicPr>
        <xdr:cNvPr id="2" name="Рисунок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82" y="58511"/>
          <a:ext cx="1634218" cy="701989"/>
        </a:xfrm>
        <a:prstGeom prst="rect">
          <a:avLst/>
        </a:prstGeom>
      </xdr:spPr>
    </xdr:pic>
    <xdr:clientData/>
  </xdr:oneCellAnchor>
  <xdr:twoCellAnchor editAs="oneCell">
    <xdr:from>
      <xdr:col>0</xdr:col>
      <xdr:colOff>352433</xdr:colOff>
      <xdr:row>2</xdr:row>
      <xdr:rowOff>57150</xdr:rowOff>
    </xdr:from>
    <xdr:to>
      <xdr:col>2</xdr:col>
      <xdr:colOff>1176995</xdr:colOff>
      <xdr:row>2</xdr:row>
      <xdr:rowOff>1317150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33" y="1362075"/>
          <a:ext cx="2453337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2407425</xdr:colOff>
      <xdr:row>2</xdr:row>
      <xdr:rowOff>708800</xdr:rowOff>
    </xdr:from>
    <xdr:to>
      <xdr:col>3</xdr:col>
      <xdr:colOff>520178</xdr:colOff>
      <xdr:row>2</xdr:row>
      <xdr:rowOff>1248800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6200" y="2013725"/>
          <a:ext cx="293240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1862100</xdr:colOff>
      <xdr:row>2</xdr:row>
      <xdr:rowOff>80925</xdr:rowOff>
    </xdr:from>
    <xdr:to>
      <xdr:col>3</xdr:col>
      <xdr:colOff>584214</xdr:colOff>
      <xdr:row>2</xdr:row>
      <xdr:rowOff>620925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875" y="1385850"/>
          <a:ext cx="3541764" cy="540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232682</xdr:colOff>
      <xdr:row>0</xdr:row>
      <xdr:rowOff>58511</xdr:rowOff>
    </xdr:from>
    <xdr:ext cx="1634218" cy="701989"/>
    <xdr:pic>
      <xdr:nvPicPr>
        <xdr:cNvPr id="2" name="Рисунок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82" y="58511"/>
          <a:ext cx="1634218" cy="701989"/>
        </a:xfrm>
        <a:prstGeom prst="rect">
          <a:avLst/>
        </a:prstGeom>
      </xdr:spPr>
    </xdr:pic>
    <xdr:clientData/>
  </xdr:oneCellAnchor>
  <xdr:twoCellAnchor editAs="oneCell">
    <xdr:from>
      <xdr:col>0</xdr:col>
      <xdr:colOff>342900</xdr:colOff>
      <xdr:row>2</xdr:row>
      <xdr:rowOff>55600</xdr:rowOff>
    </xdr:from>
    <xdr:to>
      <xdr:col>2</xdr:col>
      <xdr:colOff>945964</xdr:colOff>
      <xdr:row>2</xdr:row>
      <xdr:rowOff>1315600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360525"/>
          <a:ext cx="2231839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1525683</xdr:colOff>
      <xdr:row>2</xdr:row>
      <xdr:rowOff>40500</xdr:rowOff>
    </xdr:from>
    <xdr:to>
      <xdr:col>2</xdr:col>
      <xdr:colOff>3449666</xdr:colOff>
      <xdr:row>2</xdr:row>
      <xdr:rowOff>1300500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1112" y="1482857"/>
          <a:ext cx="1923983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4441560</xdr:colOff>
      <xdr:row>2</xdr:row>
      <xdr:rowOff>29483</xdr:rowOff>
    </xdr:from>
    <xdr:to>
      <xdr:col>3</xdr:col>
      <xdr:colOff>1080893</xdr:colOff>
      <xdr:row>2</xdr:row>
      <xdr:rowOff>1289483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6989" y="1471840"/>
          <a:ext cx="1537904" cy="126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628650</xdr:colOff>
      <xdr:row>3</xdr:row>
      <xdr:rowOff>47625</xdr:rowOff>
    </xdr:from>
    <xdr:to>
      <xdr:col>3</xdr:col>
      <xdr:colOff>1855274</xdr:colOff>
      <xdr:row>3</xdr:row>
      <xdr:rowOff>1307625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5" y="1352550"/>
          <a:ext cx="1226624" cy="12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664354</xdr:colOff>
      <xdr:row>4</xdr:row>
      <xdr:rowOff>45225</xdr:rowOff>
    </xdr:from>
    <xdr:to>
      <xdr:col>3</xdr:col>
      <xdr:colOff>1815464</xdr:colOff>
      <xdr:row>4</xdr:row>
      <xdr:rowOff>1305225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7229" y="2702700"/>
          <a:ext cx="1151110" cy="12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909600</xdr:colOff>
      <xdr:row>5</xdr:row>
      <xdr:rowOff>52350</xdr:rowOff>
    </xdr:from>
    <xdr:to>
      <xdr:col>3</xdr:col>
      <xdr:colOff>1406190</xdr:colOff>
      <xdr:row>5</xdr:row>
      <xdr:rowOff>1312350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2475" y="4062375"/>
          <a:ext cx="496590" cy="12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571425</xdr:colOff>
      <xdr:row>7</xdr:row>
      <xdr:rowOff>57075</xdr:rowOff>
    </xdr:from>
    <xdr:to>
      <xdr:col>3</xdr:col>
      <xdr:colOff>1974225</xdr:colOff>
      <xdr:row>7</xdr:row>
      <xdr:rowOff>1317075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00" y="6772200"/>
          <a:ext cx="1402800" cy="12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616650</xdr:colOff>
      <xdr:row>8</xdr:row>
      <xdr:rowOff>45150</xdr:rowOff>
    </xdr:from>
    <xdr:to>
      <xdr:col>3</xdr:col>
      <xdr:colOff>1942471</xdr:colOff>
      <xdr:row>8</xdr:row>
      <xdr:rowOff>1305150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525" y="8112825"/>
          <a:ext cx="1325821" cy="12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509475</xdr:colOff>
      <xdr:row>9</xdr:row>
      <xdr:rowOff>52275</xdr:rowOff>
    </xdr:from>
    <xdr:to>
      <xdr:col>3</xdr:col>
      <xdr:colOff>1861113</xdr:colOff>
      <xdr:row>9</xdr:row>
      <xdr:rowOff>1312275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2350" y="9472500"/>
          <a:ext cx="1351638" cy="12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578907</xdr:colOff>
      <xdr:row>6</xdr:row>
      <xdr:rowOff>47625</xdr:rowOff>
    </xdr:from>
    <xdr:to>
      <xdr:col>3</xdr:col>
      <xdr:colOff>2608907</xdr:colOff>
      <xdr:row>6</xdr:row>
      <xdr:rowOff>1307625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1782" y="5410200"/>
          <a:ext cx="2030000" cy="1260000"/>
        </a:xfrm>
        <a:prstGeom prst="rect">
          <a:avLst/>
        </a:prstGeom>
      </xdr:spPr>
    </xdr:pic>
    <xdr:clientData/>
  </xdr:twoCellAnchor>
  <xdr:oneCellAnchor>
    <xdr:from>
      <xdr:col>0</xdr:col>
      <xdr:colOff>196156</xdr:colOff>
      <xdr:row>0</xdr:row>
      <xdr:rowOff>58511</xdr:rowOff>
    </xdr:from>
    <xdr:ext cx="1634218" cy="701989"/>
    <xdr:pic>
      <xdr:nvPicPr>
        <xdr:cNvPr id="23" name="Рисунок 22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56" y="58511"/>
          <a:ext cx="1634218" cy="701989"/>
        </a:xfrm>
        <a:prstGeom prst="rect">
          <a:avLst/>
        </a:prstGeom>
      </xdr:spPr>
    </xdr:pic>
    <xdr:clientData/>
  </xdr:oneCellAnchor>
  <xdr:twoCellAnchor editAs="oneCell">
    <xdr:from>
      <xdr:col>3</xdr:col>
      <xdr:colOff>49949</xdr:colOff>
      <xdr:row>6</xdr:row>
      <xdr:rowOff>47623</xdr:rowOff>
    </xdr:from>
    <xdr:to>
      <xdr:col>3</xdr:col>
      <xdr:colOff>1367221</xdr:colOff>
      <xdr:row>6</xdr:row>
      <xdr:rowOff>1307623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2824" y="5410198"/>
          <a:ext cx="1317272" cy="12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10</xdr:row>
      <xdr:rowOff>42333</xdr:rowOff>
    </xdr:from>
    <xdr:to>
      <xdr:col>3</xdr:col>
      <xdr:colOff>2028824</xdr:colOff>
      <xdr:row>10</xdr:row>
      <xdr:rowOff>1211555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3667" y="11885083"/>
          <a:ext cx="1552574" cy="1169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1629833</xdr:colOff>
      <xdr:row>11</xdr:row>
      <xdr:rowOff>455084</xdr:rowOff>
    </xdr:from>
    <xdr:to>
      <xdr:col>3</xdr:col>
      <xdr:colOff>2654995</xdr:colOff>
      <xdr:row>11</xdr:row>
      <xdr:rowOff>1321859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13652501"/>
          <a:ext cx="1025162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158750</xdr:colOff>
      <xdr:row>11</xdr:row>
      <xdr:rowOff>63500</xdr:rowOff>
    </xdr:from>
    <xdr:to>
      <xdr:col>3</xdr:col>
      <xdr:colOff>1573397</xdr:colOff>
      <xdr:row>11</xdr:row>
      <xdr:rowOff>939800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6167" y="13260917"/>
          <a:ext cx="1414647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63500</xdr:colOff>
      <xdr:row>12</xdr:row>
      <xdr:rowOff>582082</xdr:rowOff>
    </xdr:from>
    <xdr:to>
      <xdr:col>3</xdr:col>
      <xdr:colOff>2595598</xdr:colOff>
      <xdr:row>12</xdr:row>
      <xdr:rowOff>1658406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17" y="15134165"/>
          <a:ext cx="2532098" cy="107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169334</xdr:colOff>
      <xdr:row>12</xdr:row>
      <xdr:rowOff>42334</xdr:rowOff>
    </xdr:from>
    <xdr:to>
      <xdr:col>3</xdr:col>
      <xdr:colOff>2622286</xdr:colOff>
      <xdr:row>12</xdr:row>
      <xdr:rowOff>632883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6751" y="14594417"/>
          <a:ext cx="2452952" cy="590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18143</xdr:rowOff>
    </xdr:from>
    <xdr:to>
      <xdr:col>1</xdr:col>
      <xdr:colOff>1609437</xdr:colOff>
      <xdr:row>2</xdr:row>
      <xdr:rowOff>1312936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1429"/>
          <a:ext cx="2008580" cy="1294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196156</xdr:colOff>
      <xdr:row>0</xdr:row>
      <xdr:rowOff>58511</xdr:rowOff>
    </xdr:from>
    <xdr:ext cx="1634218" cy="701989"/>
    <xdr:pic>
      <xdr:nvPicPr>
        <xdr:cNvPr id="26" name="Рисунок 2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56" y="58511"/>
          <a:ext cx="1634218" cy="701989"/>
        </a:xfrm>
        <a:prstGeom prst="rect">
          <a:avLst/>
        </a:prstGeom>
      </xdr:spPr>
    </xdr:pic>
    <xdr:clientData/>
  </xdr:oneCellAnchor>
  <xdr:twoCellAnchor editAs="oneCell">
    <xdr:from>
      <xdr:col>2</xdr:col>
      <xdr:colOff>248477</xdr:colOff>
      <xdr:row>13</xdr:row>
      <xdr:rowOff>207066</xdr:rowOff>
    </xdr:from>
    <xdr:to>
      <xdr:col>2</xdr:col>
      <xdr:colOff>2029238</xdr:colOff>
      <xdr:row>13</xdr:row>
      <xdr:rowOff>1109870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0151" y="10883349"/>
          <a:ext cx="1780761" cy="902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1593020</xdr:colOff>
      <xdr:row>1</xdr:row>
      <xdr:rowOff>81644</xdr:rowOff>
    </xdr:from>
    <xdr:to>
      <xdr:col>2</xdr:col>
      <xdr:colOff>1959429</xdr:colOff>
      <xdr:row>3</xdr:row>
      <xdr:rowOff>94357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2163" y="1324430"/>
          <a:ext cx="2008337" cy="1563927"/>
        </a:xfrm>
        <a:prstGeom prst="rect">
          <a:avLst/>
        </a:prstGeom>
      </xdr:spPr>
    </xdr:pic>
    <xdr:clientData/>
  </xdr:twoCellAnchor>
  <xdr:twoCellAnchor editAs="oneCell">
    <xdr:from>
      <xdr:col>2</xdr:col>
      <xdr:colOff>2314791</xdr:colOff>
      <xdr:row>2</xdr:row>
      <xdr:rowOff>25627</xdr:rowOff>
    </xdr:from>
    <xdr:to>
      <xdr:col>3</xdr:col>
      <xdr:colOff>771071</xdr:colOff>
      <xdr:row>2</xdr:row>
      <xdr:rowOff>1334913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5862" y="1458913"/>
          <a:ext cx="2211852" cy="1309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1608187</xdr:colOff>
      <xdr:row>13</xdr:row>
      <xdr:rowOff>1294925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76283"/>
          <a:ext cx="1933575" cy="1294925"/>
        </a:xfrm>
        <a:prstGeom prst="rect">
          <a:avLst/>
        </a:prstGeom>
      </xdr:spPr>
    </xdr:pic>
    <xdr:clientData/>
  </xdr:twoCellAnchor>
  <xdr:twoCellAnchor editAs="oneCell">
    <xdr:from>
      <xdr:col>3</xdr:col>
      <xdr:colOff>165653</xdr:colOff>
      <xdr:row>12</xdr:row>
      <xdr:rowOff>157370</xdr:rowOff>
    </xdr:from>
    <xdr:to>
      <xdr:col>3</xdr:col>
      <xdr:colOff>2234708</xdr:colOff>
      <xdr:row>13</xdr:row>
      <xdr:rowOff>1334371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375414" y="10634870"/>
          <a:ext cx="1990725" cy="1375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1933160</xdr:colOff>
      <xdr:row>13</xdr:row>
      <xdr:rowOff>36443</xdr:rowOff>
    </xdr:from>
    <xdr:to>
      <xdr:col>3</xdr:col>
      <xdr:colOff>288647</xdr:colOff>
      <xdr:row>13</xdr:row>
      <xdr:rowOff>1331368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4834" y="10712726"/>
          <a:ext cx="1933575" cy="1294925"/>
        </a:xfrm>
        <a:prstGeom prst="rect">
          <a:avLst/>
        </a:prstGeom>
      </xdr:spPr>
    </xdr:pic>
    <xdr:clientData/>
  </xdr:twoCellAnchor>
  <xdr:twoCellAnchor editAs="oneCell">
    <xdr:from>
      <xdr:col>0</xdr:col>
      <xdr:colOff>41413</xdr:colOff>
      <xdr:row>26</xdr:row>
      <xdr:rowOff>190500</xdr:rowOff>
    </xdr:from>
    <xdr:to>
      <xdr:col>2</xdr:col>
      <xdr:colOff>7671</xdr:colOff>
      <xdr:row>28</xdr:row>
      <xdr:rowOff>90695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13" y="22868283"/>
          <a:ext cx="1933574" cy="1457325"/>
        </a:xfrm>
        <a:prstGeom prst="rect">
          <a:avLst/>
        </a:prstGeom>
      </xdr:spPr>
    </xdr:pic>
    <xdr:clientData/>
  </xdr:twoCellAnchor>
  <xdr:twoCellAnchor editAs="oneCell">
    <xdr:from>
      <xdr:col>2</xdr:col>
      <xdr:colOff>132522</xdr:colOff>
      <xdr:row>26</xdr:row>
      <xdr:rowOff>165652</xdr:rowOff>
    </xdr:from>
    <xdr:to>
      <xdr:col>2</xdr:col>
      <xdr:colOff>2079398</xdr:colOff>
      <xdr:row>28</xdr:row>
      <xdr:rowOff>8697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4196" y="22843435"/>
          <a:ext cx="1946876" cy="1400175"/>
        </a:xfrm>
        <a:prstGeom prst="rect">
          <a:avLst/>
        </a:prstGeom>
      </xdr:spPr>
    </xdr:pic>
    <xdr:clientData/>
  </xdr:twoCellAnchor>
  <xdr:twoCellAnchor editAs="oneCell">
    <xdr:from>
      <xdr:col>2</xdr:col>
      <xdr:colOff>1913282</xdr:colOff>
      <xdr:row>26</xdr:row>
      <xdr:rowOff>132521</xdr:rowOff>
    </xdr:from>
    <xdr:to>
      <xdr:col>3</xdr:col>
      <xdr:colOff>373543</xdr:colOff>
      <xdr:row>28</xdr:row>
      <xdr:rowOff>42241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4956" y="22810304"/>
          <a:ext cx="2038349" cy="1466850"/>
        </a:xfrm>
        <a:prstGeom prst="rect">
          <a:avLst/>
        </a:prstGeom>
      </xdr:spPr>
    </xdr:pic>
    <xdr:clientData/>
  </xdr:twoCellAnchor>
  <xdr:twoCellAnchor editAs="oneCell">
    <xdr:from>
      <xdr:col>2</xdr:col>
      <xdr:colOff>3553240</xdr:colOff>
      <xdr:row>26</xdr:row>
      <xdr:rowOff>182216</xdr:rowOff>
    </xdr:from>
    <xdr:to>
      <xdr:col>3</xdr:col>
      <xdr:colOff>2145652</xdr:colOff>
      <xdr:row>27</xdr:row>
      <xdr:rowOff>1288359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4914" y="22859999"/>
          <a:ext cx="2094241" cy="1304925"/>
        </a:xfrm>
        <a:prstGeom prst="rect">
          <a:avLst/>
        </a:prstGeom>
      </xdr:spPr>
    </xdr:pic>
    <xdr:clientData/>
  </xdr:twoCellAnchor>
  <xdr:twoCellAnchor editAs="oneCell">
    <xdr:from>
      <xdr:col>3</xdr:col>
      <xdr:colOff>1097644</xdr:colOff>
      <xdr:row>2</xdr:row>
      <xdr:rowOff>54428</xdr:rowOff>
    </xdr:from>
    <xdr:to>
      <xdr:col>3</xdr:col>
      <xdr:colOff>2600420</xdr:colOff>
      <xdr:row>2</xdr:row>
      <xdr:rowOff>1278428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4287" y="1487714"/>
          <a:ext cx="1502776" cy="122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232682</xdr:colOff>
      <xdr:row>0</xdr:row>
      <xdr:rowOff>58511</xdr:rowOff>
    </xdr:from>
    <xdr:ext cx="1634218" cy="701989"/>
    <xdr:pic>
      <xdr:nvPicPr>
        <xdr:cNvPr id="5" name="Рисунок 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82" y="58511"/>
          <a:ext cx="1634218" cy="701989"/>
        </a:xfrm>
        <a:prstGeom prst="rect">
          <a:avLst/>
        </a:prstGeom>
      </xdr:spPr>
    </xdr:pic>
    <xdr:clientData/>
  </xdr:oneCellAnchor>
  <xdr:twoCellAnchor editAs="oneCell">
    <xdr:from>
      <xdr:col>0</xdr:col>
      <xdr:colOff>95250</xdr:colOff>
      <xdr:row>1</xdr:row>
      <xdr:rowOff>142875</xdr:rowOff>
    </xdr:from>
    <xdr:to>
      <xdr:col>2</xdr:col>
      <xdr:colOff>514349</xdr:colOff>
      <xdr:row>2</xdr:row>
      <xdr:rowOff>1295400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247775"/>
          <a:ext cx="2047874" cy="135255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</xdr:row>
      <xdr:rowOff>161925</xdr:rowOff>
    </xdr:from>
    <xdr:to>
      <xdr:col>2</xdr:col>
      <xdr:colOff>2095500</xdr:colOff>
      <xdr:row>2</xdr:row>
      <xdr:rowOff>1314450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47850" y="1266825"/>
          <a:ext cx="1876425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1943100</xdr:colOff>
      <xdr:row>1</xdr:row>
      <xdr:rowOff>95250</xdr:rowOff>
    </xdr:from>
    <xdr:to>
      <xdr:col>2</xdr:col>
      <xdr:colOff>4127046</xdr:colOff>
      <xdr:row>2</xdr:row>
      <xdr:rowOff>1273972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5" y="1200150"/>
          <a:ext cx="2009775" cy="1378747"/>
        </a:xfrm>
        <a:prstGeom prst="rect">
          <a:avLst/>
        </a:prstGeom>
      </xdr:spPr>
    </xdr:pic>
    <xdr:clientData/>
  </xdr:twoCellAnchor>
  <xdr:twoCellAnchor editAs="oneCell">
    <xdr:from>
      <xdr:col>2</xdr:col>
      <xdr:colOff>3968296</xdr:colOff>
      <xdr:row>1</xdr:row>
      <xdr:rowOff>155122</xdr:rowOff>
    </xdr:from>
    <xdr:to>
      <xdr:col>3</xdr:col>
      <xdr:colOff>1392011</xdr:colOff>
      <xdr:row>2</xdr:row>
      <xdr:rowOff>1288597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725" y="1370693"/>
          <a:ext cx="2004786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2</xdr:col>
      <xdr:colOff>428625</xdr:colOff>
      <xdr:row>16</xdr:row>
      <xdr:rowOff>38100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53950"/>
          <a:ext cx="2057400" cy="140017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14</xdr:row>
      <xdr:rowOff>190500</xdr:rowOff>
    </xdr:from>
    <xdr:to>
      <xdr:col>2</xdr:col>
      <xdr:colOff>2095324</xdr:colOff>
      <xdr:row>16</xdr:row>
      <xdr:rowOff>19050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5" y="12544425"/>
          <a:ext cx="1981024" cy="1390649"/>
        </a:xfrm>
        <a:prstGeom prst="rect">
          <a:avLst/>
        </a:prstGeom>
      </xdr:spPr>
    </xdr:pic>
    <xdr:clientData/>
  </xdr:twoCellAnchor>
  <xdr:twoCellAnchor editAs="oneCell">
    <xdr:from>
      <xdr:col>2</xdr:col>
      <xdr:colOff>1857375</xdr:colOff>
      <xdr:row>15</xdr:row>
      <xdr:rowOff>38100</xdr:rowOff>
    </xdr:from>
    <xdr:to>
      <xdr:col>2</xdr:col>
      <xdr:colOff>4012746</xdr:colOff>
      <xdr:row>16</xdr:row>
      <xdr:rowOff>9525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" y="12592050"/>
          <a:ext cx="1981200" cy="13335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14</xdr:row>
      <xdr:rowOff>171450</xdr:rowOff>
    </xdr:from>
    <xdr:to>
      <xdr:col>5</xdr:col>
      <xdr:colOff>291516</xdr:colOff>
      <xdr:row>15</xdr:row>
      <xdr:rowOff>1323975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0" y="12525375"/>
          <a:ext cx="1947959" cy="13525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196156</xdr:colOff>
      <xdr:row>0</xdr:row>
      <xdr:rowOff>58511</xdr:rowOff>
    </xdr:from>
    <xdr:ext cx="1634218" cy="701989"/>
    <xdr:pic>
      <xdr:nvPicPr>
        <xdr:cNvPr id="5" name="Рисунок 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56" y="58511"/>
          <a:ext cx="1634218" cy="701989"/>
        </a:xfrm>
        <a:prstGeom prst="rect">
          <a:avLst/>
        </a:prstGeom>
      </xdr:spPr>
    </xdr:pic>
    <xdr:clientData/>
  </xdr:oneCellAnchor>
  <xdr:twoCellAnchor editAs="oneCell">
    <xdr:from>
      <xdr:col>0</xdr:col>
      <xdr:colOff>9525</xdr:colOff>
      <xdr:row>1</xdr:row>
      <xdr:rowOff>180975</xdr:rowOff>
    </xdr:from>
    <xdr:to>
      <xdr:col>2</xdr:col>
      <xdr:colOff>295274</xdr:colOff>
      <xdr:row>3</xdr:row>
      <xdr:rowOff>54769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85875"/>
          <a:ext cx="1914524" cy="143589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</xdr:row>
      <xdr:rowOff>9525</xdr:rowOff>
    </xdr:from>
    <xdr:to>
      <xdr:col>2</xdr:col>
      <xdr:colOff>1901581</xdr:colOff>
      <xdr:row>2</xdr:row>
      <xdr:rowOff>1323975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1314450"/>
          <a:ext cx="1739656" cy="1314450"/>
        </a:xfrm>
        <a:prstGeom prst="rect">
          <a:avLst/>
        </a:prstGeom>
      </xdr:spPr>
    </xdr:pic>
    <xdr:clientData/>
  </xdr:twoCellAnchor>
  <xdr:twoCellAnchor editAs="oneCell">
    <xdr:from>
      <xdr:col>2</xdr:col>
      <xdr:colOff>4341132</xdr:colOff>
      <xdr:row>1</xdr:row>
      <xdr:rowOff>71212</xdr:rowOff>
    </xdr:from>
    <xdr:to>
      <xdr:col>3</xdr:col>
      <xdr:colOff>1587500</xdr:colOff>
      <xdr:row>2</xdr:row>
      <xdr:rowOff>1305720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6561" y="1323069"/>
          <a:ext cx="2126796" cy="14250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2</xdr:col>
      <xdr:colOff>514350</xdr:colOff>
      <xdr:row>13</xdr:row>
      <xdr:rowOff>1314450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68000"/>
          <a:ext cx="2143125" cy="1314450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13</xdr:row>
      <xdr:rowOff>47625</xdr:rowOff>
    </xdr:from>
    <xdr:to>
      <xdr:col>2</xdr:col>
      <xdr:colOff>2390775</xdr:colOff>
      <xdr:row>13</xdr:row>
      <xdr:rowOff>1257300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0725" y="10715625"/>
          <a:ext cx="2028825" cy="1209675"/>
        </a:xfrm>
        <a:prstGeom prst="rect">
          <a:avLst/>
        </a:prstGeom>
      </xdr:spPr>
    </xdr:pic>
    <xdr:clientData/>
  </xdr:twoCellAnchor>
  <xdr:twoCellAnchor editAs="oneCell">
    <xdr:from>
      <xdr:col>2</xdr:col>
      <xdr:colOff>2228850</xdr:colOff>
      <xdr:row>13</xdr:row>
      <xdr:rowOff>19050</xdr:rowOff>
    </xdr:from>
    <xdr:to>
      <xdr:col>2</xdr:col>
      <xdr:colOff>4193721</xdr:colOff>
      <xdr:row>13</xdr:row>
      <xdr:rowOff>1346975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25" y="10687050"/>
          <a:ext cx="1790700" cy="1327925"/>
        </a:xfrm>
        <a:prstGeom prst="rect">
          <a:avLst/>
        </a:prstGeom>
      </xdr:spPr>
    </xdr:pic>
    <xdr:clientData/>
  </xdr:twoCellAnchor>
  <xdr:twoCellAnchor editAs="oneCell">
    <xdr:from>
      <xdr:col>2</xdr:col>
      <xdr:colOff>4477657</xdr:colOff>
      <xdr:row>13</xdr:row>
      <xdr:rowOff>81643</xdr:rowOff>
    </xdr:from>
    <xdr:to>
      <xdr:col>4</xdr:col>
      <xdr:colOff>0</xdr:colOff>
      <xdr:row>13</xdr:row>
      <xdr:rowOff>1329418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3086" y="9434286"/>
          <a:ext cx="2101396" cy="1247775"/>
        </a:xfrm>
        <a:prstGeom prst="rect">
          <a:avLst/>
        </a:prstGeom>
      </xdr:spPr>
    </xdr:pic>
    <xdr:clientData/>
  </xdr:twoCellAnchor>
  <xdr:twoCellAnchor editAs="oneCell">
    <xdr:from>
      <xdr:col>2</xdr:col>
      <xdr:colOff>1885950</xdr:colOff>
      <xdr:row>27</xdr:row>
      <xdr:rowOff>19049</xdr:rowOff>
    </xdr:from>
    <xdr:to>
      <xdr:col>2</xdr:col>
      <xdr:colOff>3831771</xdr:colOff>
      <xdr:row>27</xdr:row>
      <xdr:rowOff>1323974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4725" y="22907624"/>
          <a:ext cx="1771650" cy="13049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27</xdr:row>
      <xdr:rowOff>57150</xdr:rowOff>
    </xdr:from>
    <xdr:to>
      <xdr:col>2</xdr:col>
      <xdr:colOff>1871774</xdr:colOff>
      <xdr:row>27</xdr:row>
      <xdr:rowOff>1296673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25" y="22945725"/>
          <a:ext cx="1814624" cy="12395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</xdr:col>
      <xdr:colOff>168623</xdr:colOff>
      <xdr:row>27</xdr:row>
      <xdr:rowOff>1247775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88575"/>
          <a:ext cx="1797398" cy="1247775"/>
        </a:xfrm>
        <a:prstGeom prst="rect">
          <a:avLst/>
        </a:prstGeom>
      </xdr:spPr>
    </xdr:pic>
    <xdr:clientData/>
  </xdr:twoCellAnchor>
  <xdr:twoCellAnchor editAs="oneCell">
    <xdr:from>
      <xdr:col>2</xdr:col>
      <xdr:colOff>4530271</xdr:colOff>
      <xdr:row>27</xdr:row>
      <xdr:rowOff>39461</xdr:rowOff>
    </xdr:from>
    <xdr:to>
      <xdr:col>3</xdr:col>
      <xdr:colOff>1537038</xdr:colOff>
      <xdr:row>27</xdr:row>
      <xdr:rowOff>1278984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5700" y="21366390"/>
          <a:ext cx="1887195" cy="1239523"/>
        </a:xfrm>
        <a:prstGeom prst="rect">
          <a:avLst/>
        </a:prstGeom>
      </xdr:spPr>
    </xdr:pic>
    <xdr:clientData/>
  </xdr:twoCellAnchor>
  <xdr:twoCellAnchor editAs="oneCell">
    <xdr:from>
      <xdr:col>2</xdr:col>
      <xdr:colOff>1968500</xdr:colOff>
      <xdr:row>2</xdr:row>
      <xdr:rowOff>18143</xdr:rowOff>
    </xdr:from>
    <xdr:to>
      <xdr:col>2</xdr:col>
      <xdr:colOff>4014102</xdr:colOff>
      <xdr:row>2</xdr:row>
      <xdr:rowOff>1278143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3929" y="1306286"/>
          <a:ext cx="2045602" cy="126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232682</xdr:colOff>
      <xdr:row>0</xdr:row>
      <xdr:rowOff>58511</xdr:rowOff>
    </xdr:from>
    <xdr:ext cx="1634218" cy="701989"/>
    <xdr:pic>
      <xdr:nvPicPr>
        <xdr:cNvPr id="4" name="Рисунок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82" y="58511"/>
          <a:ext cx="1634218" cy="701989"/>
        </a:xfrm>
        <a:prstGeom prst="rect">
          <a:avLst/>
        </a:prstGeom>
      </xdr:spPr>
    </xdr:pic>
    <xdr:clientData/>
  </xdr:oneCellAnchor>
  <xdr:twoCellAnchor editAs="oneCell">
    <xdr:from>
      <xdr:col>2</xdr:col>
      <xdr:colOff>1314450</xdr:colOff>
      <xdr:row>2</xdr:row>
      <xdr:rowOff>57150</xdr:rowOff>
    </xdr:from>
    <xdr:to>
      <xdr:col>2</xdr:col>
      <xdr:colOff>3162300</xdr:colOff>
      <xdr:row>2</xdr:row>
      <xdr:rowOff>1293283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1362075"/>
          <a:ext cx="1847850" cy="1236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</xdr:row>
      <xdr:rowOff>71400</xdr:rowOff>
    </xdr:from>
    <xdr:to>
      <xdr:col>2</xdr:col>
      <xdr:colOff>847725</xdr:colOff>
      <xdr:row>2</xdr:row>
      <xdr:rowOff>1319513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1376325"/>
          <a:ext cx="2038350" cy="1248113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3429000</xdr:colOff>
      <xdr:row>2</xdr:row>
      <xdr:rowOff>171450</xdr:rowOff>
    </xdr:from>
    <xdr:to>
      <xdr:col>3</xdr:col>
      <xdr:colOff>910771</xdr:colOff>
      <xdr:row>2</xdr:row>
      <xdr:rowOff>1247775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1476375"/>
          <a:ext cx="2200275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123824</xdr:colOff>
      <xdr:row>17</xdr:row>
      <xdr:rowOff>85725</xdr:rowOff>
    </xdr:from>
    <xdr:to>
      <xdr:col>2</xdr:col>
      <xdr:colOff>828674</xdr:colOff>
      <xdr:row>17</xdr:row>
      <xdr:rowOff>1266825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4" y="14697075"/>
          <a:ext cx="1952625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3190875</xdr:colOff>
      <xdr:row>17</xdr:row>
      <xdr:rowOff>85725</xdr:rowOff>
    </xdr:from>
    <xdr:to>
      <xdr:col>3</xdr:col>
      <xdr:colOff>361495</xdr:colOff>
      <xdr:row>17</xdr:row>
      <xdr:rowOff>1276350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14697075"/>
          <a:ext cx="1924049" cy="1190625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1000125</xdr:colOff>
      <xdr:row>17</xdr:row>
      <xdr:rowOff>47625</xdr:rowOff>
    </xdr:from>
    <xdr:to>
      <xdr:col>2</xdr:col>
      <xdr:colOff>2971800</xdr:colOff>
      <xdr:row>17</xdr:row>
      <xdr:rowOff>1247775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4658975"/>
          <a:ext cx="1971675" cy="12001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232682</xdr:colOff>
      <xdr:row>0</xdr:row>
      <xdr:rowOff>58511</xdr:rowOff>
    </xdr:from>
    <xdr:ext cx="1634218" cy="701989"/>
    <xdr:pic>
      <xdr:nvPicPr>
        <xdr:cNvPr id="32" name="Рисунок 3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82" y="58511"/>
          <a:ext cx="1634218" cy="701989"/>
        </a:xfrm>
        <a:prstGeom prst="rect">
          <a:avLst/>
        </a:prstGeom>
      </xdr:spPr>
    </xdr:pic>
    <xdr:clientData/>
  </xdr:oneCellAnchor>
  <xdr:twoCellAnchor editAs="oneCell">
    <xdr:from>
      <xdr:col>3</xdr:col>
      <xdr:colOff>309790</xdr:colOff>
      <xdr:row>3</xdr:row>
      <xdr:rowOff>47625</xdr:rowOff>
    </xdr:from>
    <xdr:to>
      <xdr:col>3</xdr:col>
      <xdr:colOff>1720960</xdr:colOff>
      <xdr:row>3</xdr:row>
      <xdr:rowOff>1307625</xdr:rowOff>
    </xdr:to>
    <xdr:pic>
      <xdr:nvPicPr>
        <xdr:cNvPr id="33" name="Picture 12" descr="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2790" y="1390196"/>
          <a:ext cx="1411170" cy="12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56244</xdr:colOff>
      <xdr:row>4</xdr:row>
      <xdr:rowOff>66221</xdr:rowOff>
    </xdr:from>
    <xdr:to>
      <xdr:col>3</xdr:col>
      <xdr:colOff>1785995</xdr:colOff>
      <xdr:row>4</xdr:row>
      <xdr:rowOff>1329849</xdr:rowOff>
    </xdr:to>
    <xdr:pic>
      <xdr:nvPicPr>
        <xdr:cNvPr id="34" name="Picture 13" descr="Т 01 2009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9244" y="2769507"/>
          <a:ext cx="1729751" cy="126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177800</xdr:colOff>
      <xdr:row>4</xdr:row>
      <xdr:rowOff>57149</xdr:rowOff>
    </xdr:from>
    <xdr:to>
      <xdr:col>2</xdr:col>
      <xdr:colOff>2403</xdr:colOff>
      <xdr:row>4</xdr:row>
      <xdr:rowOff>1320777</xdr:rowOff>
    </xdr:to>
    <xdr:pic>
      <xdr:nvPicPr>
        <xdr:cNvPr id="35" name="Picture 15" descr="часть девятая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800" y="2705099"/>
          <a:ext cx="1532753" cy="12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20</xdr:row>
      <xdr:rowOff>53975</xdr:rowOff>
    </xdr:from>
    <xdr:to>
      <xdr:col>2</xdr:col>
      <xdr:colOff>175294</xdr:colOff>
      <xdr:row>20</xdr:row>
      <xdr:rowOff>1317603</xdr:rowOff>
    </xdr:to>
    <xdr:pic>
      <xdr:nvPicPr>
        <xdr:cNvPr id="36" name="Picture 11" descr="07 2009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16957675"/>
          <a:ext cx="1740569" cy="12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206375</xdr:colOff>
      <xdr:row>20</xdr:row>
      <xdr:rowOff>57149</xdr:rowOff>
    </xdr:from>
    <xdr:to>
      <xdr:col>2</xdr:col>
      <xdr:colOff>1659753</xdr:colOff>
      <xdr:row>20</xdr:row>
      <xdr:rowOff>1320777</xdr:rowOff>
    </xdr:to>
    <xdr:pic>
      <xdr:nvPicPr>
        <xdr:cNvPr id="37" name="Picture 15" descr="часть девятая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4525" y="16960849"/>
          <a:ext cx="1453378" cy="12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4342039</xdr:colOff>
      <xdr:row>20</xdr:row>
      <xdr:rowOff>65767</xdr:rowOff>
    </xdr:from>
    <xdr:to>
      <xdr:col>3</xdr:col>
      <xdr:colOff>1547747</xdr:colOff>
      <xdr:row>20</xdr:row>
      <xdr:rowOff>1329395</xdr:rowOff>
    </xdr:to>
    <xdr:pic>
      <xdr:nvPicPr>
        <xdr:cNvPr id="38" name="Picture 18" descr="2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47468" y="16993053"/>
          <a:ext cx="1850279" cy="126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2000251</xdr:colOff>
      <xdr:row>20</xdr:row>
      <xdr:rowOff>47626</xdr:rowOff>
    </xdr:from>
    <xdr:to>
      <xdr:col>2</xdr:col>
      <xdr:colOff>3786919</xdr:colOff>
      <xdr:row>20</xdr:row>
      <xdr:rowOff>1308554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8401" y="16951326"/>
          <a:ext cx="1786668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2266950</xdr:colOff>
      <xdr:row>3</xdr:row>
      <xdr:rowOff>47625</xdr:rowOff>
    </xdr:from>
    <xdr:to>
      <xdr:col>2</xdr:col>
      <xdr:colOff>4106400</xdr:colOff>
      <xdr:row>3</xdr:row>
      <xdr:rowOff>1307625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5100" y="1336675"/>
          <a:ext cx="1839450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3</xdr:row>
      <xdr:rowOff>57150</xdr:rowOff>
    </xdr:from>
    <xdr:to>
      <xdr:col>2</xdr:col>
      <xdr:colOff>2103509</xdr:colOff>
      <xdr:row>3</xdr:row>
      <xdr:rowOff>1317150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5825" y="1346200"/>
          <a:ext cx="1655834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4</xdr:row>
      <xdr:rowOff>47625</xdr:rowOff>
    </xdr:from>
    <xdr:to>
      <xdr:col>2</xdr:col>
      <xdr:colOff>2134646</xdr:colOff>
      <xdr:row>4</xdr:row>
      <xdr:rowOff>1311253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2451" y="2695575"/>
          <a:ext cx="2020345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2152657</xdr:colOff>
      <xdr:row>4</xdr:row>
      <xdr:rowOff>57150</xdr:rowOff>
    </xdr:from>
    <xdr:to>
      <xdr:col>2</xdr:col>
      <xdr:colOff>4012770</xdr:colOff>
      <xdr:row>4</xdr:row>
      <xdr:rowOff>1320778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0807" y="2705100"/>
          <a:ext cx="1860113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</xdr:row>
      <xdr:rowOff>57150</xdr:rowOff>
    </xdr:from>
    <xdr:to>
      <xdr:col>2</xdr:col>
      <xdr:colOff>274425</xdr:colOff>
      <xdr:row>3</xdr:row>
      <xdr:rowOff>1317150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346200"/>
          <a:ext cx="1906375" cy="126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232682</xdr:colOff>
      <xdr:row>0</xdr:row>
      <xdr:rowOff>58511</xdr:rowOff>
    </xdr:from>
    <xdr:ext cx="1634218" cy="701989"/>
    <xdr:pic>
      <xdr:nvPicPr>
        <xdr:cNvPr id="2" name="Рисунок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82" y="58511"/>
          <a:ext cx="1634218" cy="701989"/>
        </a:xfrm>
        <a:prstGeom prst="rect">
          <a:avLst/>
        </a:prstGeom>
      </xdr:spPr>
    </xdr:pic>
    <xdr:clientData/>
  </xdr:oneCellAnchor>
  <xdr:twoCellAnchor editAs="oneCell">
    <xdr:from>
      <xdr:col>0</xdr:col>
      <xdr:colOff>161938</xdr:colOff>
      <xdr:row>3</xdr:row>
      <xdr:rowOff>47625</xdr:rowOff>
    </xdr:from>
    <xdr:to>
      <xdr:col>2</xdr:col>
      <xdr:colOff>256021</xdr:colOff>
      <xdr:row>3</xdr:row>
      <xdr:rowOff>1307625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38" y="1352550"/>
          <a:ext cx="1722858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4632185</xdr:colOff>
      <xdr:row>3</xdr:row>
      <xdr:rowOff>65768</xdr:rowOff>
    </xdr:from>
    <xdr:to>
      <xdr:col>3</xdr:col>
      <xdr:colOff>1675297</xdr:colOff>
      <xdr:row>3</xdr:row>
      <xdr:rowOff>1325768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7614" y="1399268"/>
          <a:ext cx="1760254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2333633</xdr:colOff>
      <xdr:row>3</xdr:row>
      <xdr:rowOff>47625</xdr:rowOff>
    </xdr:from>
    <xdr:to>
      <xdr:col>2</xdr:col>
      <xdr:colOff>3659945</xdr:colOff>
      <xdr:row>3</xdr:row>
      <xdr:rowOff>1307625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8" y="1352550"/>
          <a:ext cx="1326312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3</xdr:row>
      <xdr:rowOff>57150</xdr:rowOff>
    </xdr:from>
    <xdr:to>
      <xdr:col>2</xdr:col>
      <xdr:colOff>2072475</xdr:colOff>
      <xdr:row>3</xdr:row>
      <xdr:rowOff>1317150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0" y="1362075"/>
          <a:ext cx="1701000" cy="126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232682</xdr:colOff>
      <xdr:row>0</xdr:row>
      <xdr:rowOff>58511</xdr:rowOff>
    </xdr:from>
    <xdr:ext cx="1634218" cy="701989"/>
    <xdr:pic>
      <xdr:nvPicPr>
        <xdr:cNvPr id="2" name="Рисунок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82" y="58511"/>
          <a:ext cx="1634218" cy="701989"/>
        </a:xfrm>
        <a:prstGeom prst="rect">
          <a:avLst/>
        </a:prstGeom>
      </xdr:spPr>
    </xdr:pic>
    <xdr:clientData/>
  </xdr:oneCellAnchor>
  <xdr:twoCellAnchor editAs="oneCell">
    <xdr:from>
      <xdr:col>2</xdr:col>
      <xdr:colOff>2228850</xdr:colOff>
      <xdr:row>2</xdr:row>
      <xdr:rowOff>47625</xdr:rowOff>
    </xdr:from>
    <xdr:to>
      <xdr:col>2</xdr:col>
      <xdr:colOff>3511621</xdr:colOff>
      <xdr:row>2</xdr:row>
      <xdr:rowOff>1307625</xdr:rowOff>
    </xdr:to>
    <xdr:pic>
      <xdr:nvPicPr>
        <xdr:cNvPr id="6" name="Picture 1" descr="SV-SPIRE-16-580-NS top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57625" y="1352550"/>
          <a:ext cx="1282771" cy="12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3540124</xdr:colOff>
      <xdr:row>2</xdr:row>
      <xdr:rowOff>57150</xdr:rowOff>
    </xdr:from>
    <xdr:to>
      <xdr:col>3</xdr:col>
      <xdr:colOff>800455</xdr:colOff>
      <xdr:row>2</xdr:row>
      <xdr:rowOff>1317150</xdr:rowOff>
    </xdr:to>
    <xdr:pic>
      <xdr:nvPicPr>
        <xdr:cNvPr id="7" name="Picture 2" descr="SV-SPIRE-нет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899" y="1362075"/>
          <a:ext cx="1845031" cy="12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203199</xdr:colOff>
      <xdr:row>2</xdr:row>
      <xdr:rowOff>44450</xdr:rowOff>
    </xdr:from>
    <xdr:to>
      <xdr:col>2</xdr:col>
      <xdr:colOff>99540</xdr:colOff>
      <xdr:row>2</xdr:row>
      <xdr:rowOff>1304450</xdr:rowOff>
    </xdr:to>
    <xdr:pic>
      <xdr:nvPicPr>
        <xdr:cNvPr id="8" name="Picture 3" descr="SV-SPIRE-подвес top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199" y="1349375"/>
          <a:ext cx="1525116" cy="12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514351</xdr:colOff>
      <xdr:row>2</xdr:row>
      <xdr:rowOff>57150</xdr:rowOff>
    </xdr:from>
    <xdr:to>
      <xdr:col>2</xdr:col>
      <xdr:colOff>1801862</xdr:colOff>
      <xdr:row>2</xdr:row>
      <xdr:rowOff>1317150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6" y="1362075"/>
          <a:ext cx="1287511" cy="12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16"/>
  <sheetViews>
    <sheetView zoomScale="70" zoomScaleNormal="70" workbookViewId="0">
      <selection activeCell="E1" sqref="E1:H1"/>
    </sheetView>
  </sheetViews>
  <sheetFormatPr defaultColWidth="9.1796875" defaultRowHeight="14.5" x14ac:dyDescent="0.35"/>
  <cols>
    <col min="1" max="1" width="9.1796875" style="43"/>
    <col min="2" max="2" width="9.81640625" style="43" bestFit="1" customWidth="1"/>
    <col min="3" max="4" width="9.1796875" style="43"/>
    <col min="5" max="5" width="9.81640625" style="43" bestFit="1" customWidth="1"/>
    <col min="6" max="7" width="9.1796875" style="43"/>
    <col min="8" max="8" width="57.453125" style="43" customWidth="1"/>
    <col min="9" max="16384" width="9.1796875" style="43"/>
  </cols>
  <sheetData>
    <row r="1" spans="1:8" s="7" customFormat="1" ht="98.5" customHeight="1" thickBot="1" x14ac:dyDescent="0.4">
      <c r="D1" s="44"/>
      <c r="E1" s="86" t="s">
        <v>296</v>
      </c>
      <c r="F1" s="86"/>
      <c r="G1" s="86"/>
      <c r="H1" s="86"/>
    </row>
    <row r="2" spans="1:8" ht="29.25" customHeight="1" thickBot="1" x14ac:dyDescent="0.4">
      <c r="A2" s="93" t="s">
        <v>9</v>
      </c>
      <c r="B2" s="94"/>
      <c r="C2" s="94"/>
      <c r="D2" s="94"/>
      <c r="E2" s="94"/>
      <c r="F2" s="94"/>
      <c r="G2" s="94"/>
      <c r="H2" s="95"/>
    </row>
    <row r="3" spans="1:8" ht="24.75" customHeight="1" x14ac:dyDescent="0.35">
      <c r="A3" s="49">
        <v>1</v>
      </c>
      <c r="B3" s="96" t="s">
        <v>24</v>
      </c>
      <c r="C3" s="96"/>
      <c r="D3" s="96"/>
      <c r="E3" s="96"/>
      <c r="F3" s="96"/>
      <c r="G3" s="96"/>
      <c r="H3" s="97"/>
    </row>
    <row r="4" spans="1:8" ht="24.75" customHeight="1" x14ac:dyDescent="0.35">
      <c r="A4" s="50">
        <v>2</v>
      </c>
      <c r="B4" s="87" t="s">
        <v>35</v>
      </c>
      <c r="C4" s="87"/>
      <c r="D4" s="87"/>
      <c r="E4" s="87"/>
      <c r="F4" s="87"/>
      <c r="G4" s="87"/>
      <c r="H4" s="88"/>
    </row>
    <row r="5" spans="1:8" ht="24.75" customHeight="1" x14ac:dyDescent="0.35">
      <c r="A5" s="50">
        <v>3</v>
      </c>
      <c r="B5" s="87" t="s">
        <v>34</v>
      </c>
      <c r="C5" s="87"/>
      <c r="D5" s="87"/>
      <c r="E5" s="87"/>
      <c r="F5" s="87"/>
      <c r="G5" s="87"/>
      <c r="H5" s="88"/>
    </row>
    <row r="6" spans="1:8" ht="24.75" customHeight="1" x14ac:dyDescent="0.35">
      <c r="A6" s="50">
        <v>4</v>
      </c>
      <c r="B6" s="89" t="s">
        <v>33</v>
      </c>
      <c r="C6" s="89"/>
      <c r="D6" s="89"/>
      <c r="E6" s="89"/>
      <c r="F6" s="89"/>
      <c r="G6" s="89"/>
      <c r="H6" s="90"/>
    </row>
    <row r="7" spans="1:8" ht="24.75" customHeight="1" x14ac:dyDescent="0.35">
      <c r="A7" s="50">
        <v>5</v>
      </c>
      <c r="B7" s="89" t="s">
        <v>32</v>
      </c>
      <c r="C7" s="89"/>
      <c r="D7" s="89"/>
      <c r="E7" s="89"/>
      <c r="F7" s="89"/>
      <c r="G7" s="89"/>
      <c r="H7" s="90"/>
    </row>
    <row r="8" spans="1:8" ht="24.75" customHeight="1" x14ac:dyDescent="0.35">
      <c r="A8" s="50">
        <v>6</v>
      </c>
      <c r="B8" s="89" t="s">
        <v>41</v>
      </c>
      <c r="C8" s="89"/>
      <c r="D8" s="89"/>
      <c r="E8" s="89"/>
      <c r="F8" s="89"/>
      <c r="G8" s="89"/>
      <c r="H8" s="90"/>
    </row>
    <row r="9" spans="1:8" ht="24.75" customHeight="1" x14ac:dyDescent="0.35">
      <c r="A9" s="50">
        <v>7</v>
      </c>
      <c r="B9" s="89" t="s">
        <v>28</v>
      </c>
      <c r="C9" s="89"/>
      <c r="D9" s="89"/>
      <c r="E9" s="89"/>
      <c r="F9" s="89"/>
      <c r="G9" s="89"/>
      <c r="H9" s="90"/>
    </row>
    <row r="10" spans="1:8" ht="24.75" customHeight="1" x14ac:dyDescent="0.35">
      <c r="A10" s="50">
        <v>8</v>
      </c>
      <c r="B10" s="89" t="s">
        <v>40</v>
      </c>
      <c r="C10" s="89"/>
      <c r="D10" s="89"/>
      <c r="E10" s="89"/>
      <c r="F10" s="89"/>
      <c r="G10" s="89"/>
      <c r="H10" s="90"/>
    </row>
    <row r="11" spans="1:8" ht="24.75" customHeight="1" x14ac:dyDescent="0.35">
      <c r="A11" s="50">
        <v>9</v>
      </c>
      <c r="B11" s="89" t="s">
        <v>39</v>
      </c>
      <c r="C11" s="89"/>
      <c r="D11" s="89"/>
      <c r="E11" s="89"/>
      <c r="F11" s="89"/>
      <c r="G11" s="89"/>
      <c r="H11" s="90"/>
    </row>
    <row r="12" spans="1:8" ht="24.75" customHeight="1" x14ac:dyDescent="0.35">
      <c r="A12" s="50">
        <v>10</v>
      </c>
      <c r="B12" s="87" t="s">
        <v>25</v>
      </c>
      <c r="C12" s="87"/>
      <c r="D12" s="87"/>
      <c r="E12" s="87"/>
      <c r="F12" s="87"/>
      <c r="G12" s="87"/>
      <c r="H12" s="88"/>
    </row>
    <row r="13" spans="1:8" ht="24.75" customHeight="1" x14ac:dyDescent="0.35">
      <c r="A13" s="50">
        <v>11</v>
      </c>
      <c r="B13" s="87" t="s">
        <v>26</v>
      </c>
      <c r="C13" s="87"/>
      <c r="D13" s="87"/>
      <c r="E13" s="87"/>
      <c r="F13" s="87"/>
      <c r="G13" s="87"/>
      <c r="H13" s="88"/>
    </row>
    <row r="14" spans="1:8" ht="24.75" customHeight="1" x14ac:dyDescent="0.35">
      <c r="A14" s="50">
        <v>12</v>
      </c>
      <c r="B14" s="87" t="s">
        <v>29</v>
      </c>
      <c r="C14" s="87"/>
      <c r="D14" s="87"/>
      <c r="E14" s="87"/>
      <c r="F14" s="87"/>
      <c r="G14" s="87"/>
      <c r="H14" s="88"/>
    </row>
    <row r="15" spans="1:8" ht="24.75" customHeight="1" x14ac:dyDescent="0.35">
      <c r="A15" s="50">
        <v>13</v>
      </c>
      <c r="B15" s="87" t="s">
        <v>10</v>
      </c>
      <c r="C15" s="87"/>
      <c r="D15" s="87"/>
      <c r="E15" s="87"/>
      <c r="F15" s="87"/>
      <c r="G15" s="87"/>
      <c r="H15" s="88"/>
    </row>
    <row r="16" spans="1:8" ht="24.75" customHeight="1" thickBot="1" x14ac:dyDescent="0.4">
      <c r="A16" s="51">
        <v>14</v>
      </c>
      <c r="B16" s="91" t="s">
        <v>27</v>
      </c>
      <c r="C16" s="91"/>
      <c r="D16" s="91"/>
      <c r="E16" s="91"/>
      <c r="F16" s="91"/>
      <c r="G16" s="91"/>
      <c r="H16" s="92"/>
    </row>
  </sheetData>
  <mergeCells count="16">
    <mergeCell ref="E1:H1"/>
    <mergeCell ref="B14:H14"/>
    <mergeCell ref="B6:H6"/>
    <mergeCell ref="B7:H7"/>
    <mergeCell ref="B16:H16"/>
    <mergeCell ref="B9:H9"/>
    <mergeCell ref="B8:H8"/>
    <mergeCell ref="B13:H13"/>
    <mergeCell ref="B15:H15"/>
    <mergeCell ref="B12:H12"/>
    <mergeCell ref="B10:H10"/>
    <mergeCell ref="A2:H2"/>
    <mergeCell ref="B4:H4"/>
    <mergeCell ref="B5:H5"/>
    <mergeCell ref="B3:H3"/>
    <mergeCell ref="B11:H11"/>
  </mergeCells>
  <hyperlinks>
    <hyperlink ref="B5" location="'Уличное освещение (оптика)'!R1C1" display="Уличное освещение (оптика)"/>
    <hyperlink ref="B14" location="'светильники  для АЗС'!R1C1" display="Уличные светодиодные светильники  для АЗС"/>
    <hyperlink ref="B6" location="'Промышленное освещение'!R1C1" display="'Промышленное освещение"/>
    <hyperlink ref="B7" location="'Промышленное освещение (оптика)'!R1C1" display="'Промышленное освещение (оптика)"/>
    <hyperlink ref="B10" location="'Линейный  светильники SPIRE'!R1C1" display="Линейный  светильники SPIRE"/>
    <hyperlink ref="B9" location="'Линейные светильники  ORBIT'!R1C1" display="Линейные светильники  ORBIT"/>
    <hyperlink ref="B8" location="'Линейные светильники '!R1C1" display="'Линейные светильники "/>
    <hyperlink ref="B13" location="'Низковольтные  светильники'!R1C1" display="Низковольтные  светильники"/>
    <hyperlink ref="B15" location="'Светильники общего освещения'!R1C1" display="Светильники общего освещения"/>
    <hyperlink ref="B12" location="'Офисные светильники'!R1C1" display="Офисные светильники IP20"/>
    <hyperlink ref="B16" location="'Светильнки для растений'!R1C1" display="Светильнки для растений FITO"/>
    <hyperlink ref="B4" location="'Уличное Освещение'!R1C1" display="Уличное освещение"/>
    <hyperlink ref="B3" location="'Уличное Освещение'!R1C1" display="Уличное освещение"/>
    <hyperlink ref="B3:H3" location="КРЕПЛЕНИЯ!A1" display="Крепления"/>
    <hyperlink ref="B8:H8" location="'Линейные LINER'!A1" display="Линейные светильники LINER"/>
    <hyperlink ref="B9:H9" location="'Линейные ORBIT'!A1" display="Линейные светильники ORBIT"/>
    <hyperlink ref="B10:H10" location="'Линейные SPIRE-R'!A1" display="Линейные светильники SPIRE-R"/>
    <hyperlink ref="B12:H12" location="'Офисные IP20 и IP54'!A1" display="Офисные светильники IP20 / IP54"/>
    <hyperlink ref="B13:H13" location="Низковольтные!A1" display="Низковольтные светильники промышленные и линейные"/>
    <hyperlink ref="B14:H14" location="АЗС!A1" display="Уличные светодиодные светильники для АЗС"/>
    <hyperlink ref="B16:H16" location="'Светильники для растений'!A1" display="Светильники для растений FITO"/>
    <hyperlink ref="B15:H15" location="'Светильники общего освещения'!A1" display="Светильники общего освещения"/>
    <hyperlink ref="B7:H7" location="'Промышленные (оптика)'!A1" display="Промышленные светильники (оптика)"/>
    <hyperlink ref="B6:H6" location="Промышленные!A1" display="Промышленные светильники"/>
    <hyperlink ref="B5:H5" location="'Уличные (оптика)'!A1" display="Уличные светильники (оптика)"/>
    <hyperlink ref="B4:H4" location="Уличные!A1" display="Уличные светильники"/>
    <hyperlink ref="B11" location="'Линейный  светильники SPIRE'!R1C1" display="Линейный  светильники SPIRE"/>
    <hyperlink ref="B11:H11" location="'Линейные уличные SPIRE-S'!A1" display="Линейные уличные светильники SPIRE-S"/>
  </hyperlinks>
  <pageMargins left="0.7" right="0.7" top="0.75" bottom="0.75" header="0.3" footer="0.3"/>
  <pageSetup paperSize="9" scale="7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5050"/>
    <pageSetUpPr fitToPage="1"/>
  </sheetPr>
  <dimension ref="A1:F20"/>
  <sheetViews>
    <sheetView zoomScale="70" zoomScaleNormal="70" zoomScaleSheetLayoutView="120" workbookViewId="0">
      <selection activeCell="C1" sqref="C1:F1"/>
    </sheetView>
  </sheetViews>
  <sheetFormatPr defaultColWidth="9.1796875" defaultRowHeight="23.5" x14ac:dyDescent="0.35"/>
  <cols>
    <col min="1" max="1" width="5.7265625" style="3" customWidth="1"/>
    <col min="2" max="2" width="18.7265625" style="4" customWidth="1"/>
    <col min="3" max="3" width="68.36328125" style="6" customWidth="1"/>
    <col min="4" max="4" width="23.54296875" style="5" customWidth="1"/>
    <col min="5" max="5" width="17.453125" style="59" hidden="1" customWidth="1"/>
    <col min="6" max="16384" width="9.1796875" style="3"/>
  </cols>
  <sheetData>
    <row r="1" spans="1:6" s="7" customFormat="1" ht="99" customHeight="1" thickBot="1" x14ac:dyDescent="0.4">
      <c r="C1" s="86" t="s">
        <v>296</v>
      </c>
      <c r="D1" s="86"/>
      <c r="E1" s="86"/>
      <c r="F1" s="86"/>
    </row>
    <row r="2" spans="1:6" s="7" customFormat="1" ht="15" thickBot="1" x14ac:dyDescent="0.4">
      <c r="A2" s="104" t="s">
        <v>232</v>
      </c>
      <c r="B2" s="105"/>
      <c r="C2" s="105"/>
      <c r="D2" s="105"/>
      <c r="E2" s="53" t="s">
        <v>45</v>
      </c>
    </row>
    <row r="3" spans="1:6" s="7" customFormat="1" ht="107.25" customHeight="1" thickBot="1" x14ac:dyDescent="0.4">
      <c r="A3" s="114"/>
      <c r="B3" s="115"/>
      <c r="C3" s="115"/>
      <c r="D3" s="115"/>
      <c r="E3" s="54">
        <v>6.96</v>
      </c>
    </row>
    <row r="4" spans="1:6" s="7" customFormat="1" ht="15" thickBot="1" x14ac:dyDescent="0.4">
      <c r="A4" s="116" t="s">
        <v>13</v>
      </c>
      <c r="B4" s="117"/>
      <c r="C4" s="117"/>
      <c r="D4" s="117"/>
      <c r="E4" s="55" t="s">
        <v>46</v>
      </c>
    </row>
    <row r="5" spans="1:6" s="7" customFormat="1" ht="54" customHeight="1" thickBot="1" x14ac:dyDescent="0.4">
      <c r="A5" s="118" t="s">
        <v>43</v>
      </c>
      <c r="B5" s="119"/>
      <c r="C5" s="120"/>
      <c r="D5" s="120"/>
      <c r="E5" s="56">
        <v>94</v>
      </c>
    </row>
    <row r="6" spans="1:6" s="7" customFormat="1" ht="40.5" customHeight="1" thickBot="1" x14ac:dyDescent="0.4">
      <c r="A6" s="34" t="s">
        <v>11</v>
      </c>
      <c r="B6" s="35" t="s">
        <v>15</v>
      </c>
      <c r="C6" s="35" t="s">
        <v>12</v>
      </c>
      <c r="D6" s="36" t="s">
        <v>37</v>
      </c>
      <c r="E6" s="57" t="s">
        <v>47</v>
      </c>
    </row>
    <row r="7" spans="1:6" s="7" customFormat="1" ht="81" customHeight="1" thickBot="1" x14ac:dyDescent="0.4">
      <c r="A7" s="27">
        <v>1</v>
      </c>
      <c r="B7" s="32" t="s">
        <v>233</v>
      </c>
      <c r="C7" s="29" t="str">
        <f>"Потребление: от сети - 7 Вт.
Световой поток: "&amp;E7*$E$5&amp;" Лм. (5000К)
Световой поток с учетом потерь на оптике: "&amp;ROUND((E7*$E$5)-((E7*$E$5)*$E$3/100),0)&amp;" Лм. (5000К)
Количество светодиодов: "&amp;E7&amp;" шт.
Габаритные размеры (ДхШхВ): 480х55х50 мм.
Масса: 0,5 кг"</f>
        <v>Потребление: от сети - 7 Вт.
Световой поток: 1128 Лм. (5000К)
Световой поток с учетом потерь на оптике: 1049 Лм. (5000К)
Количество светодиодов: 12 шт.
Габаритные размеры (ДхШхВ): 480х55х50 мм.
Масса: 0,5 кг</v>
      </c>
      <c r="D7" s="30">
        <v>2960</v>
      </c>
      <c r="E7" s="58">
        <v>12</v>
      </c>
    </row>
    <row r="8" spans="1:6" s="7" customFormat="1" ht="81" customHeight="1" thickBot="1" x14ac:dyDescent="0.4">
      <c r="A8" s="13">
        <v>2</v>
      </c>
      <c r="B8" s="16" t="s">
        <v>234</v>
      </c>
      <c r="C8" s="15" t="str">
        <f>"Потребление: от сети - 7 Вт.
Световой поток: "&amp;E8*$E$5&amp;" Лм. (5000К)
Световой поток с учетом потерь на оптике: "&amp;ROUND((E8*$E$5)-((E8*$E$5)*$E$3/100),0)&amp;" Лм. (5000К)
Количество светодиодов: "&amp;E8&amp;" шт.
Габаритные размеры (ДхШхВ): 940х55х50 мм.
Масса: 0,8 кг"</f>
        <v>Потребление: от сети - 7 Вт.
Световой поток: 1128 Лм. (5000К)
Световой поток с учетом потерь на оптике: 1049 Лм. (5000К)
Количество светодиодов: 12 шт.
Габаритные размеры (ДхШхВ): 940х55х50 мм.
Масса: 0,8 кг</v>
      </c>
      <c r="D8" s="30">
        <v>3740</v>
      </c>
      <c r="E8" s="58">
        <v>12</v>
      </c>
    </row>
    <row r="9" spans="1:6" s="7" customFormat="1" ht="81" customHeight="1" thickBot="1" x14ac:dyDescent="0.4">
      <c r="A9" s="13">
        <v>3</v>
      </c>
      <c r="B9" s="16" t="s">
        <v>235</v>
      </c>
      <c r="C9" s="15" t="str">
        <f>"Потребление: от сети - 10 Вт.
Световой поток: "&amp;E9*$E$5&amp;" Лм. (5000К)
Световой поток с учетом потерь на оптике: "&amp;ROUND((E9*$E$5)-((E9*$E$5)*$E$3/100),0)&amp;" Лм. (5000К)
Количество светодиодов: "&amp;E9&amp;" шт.
Габаритные размеры (ДхШхВ): 1120х55х50 мм.
Масса: 1,5 кг"</f>
        <v>Потребление: от сети - 10 Вт.
Световой поток: 1504 Лм. (5000К)
Световой поток с учетом потерь на оптике: 1399 Лм. (5000К)
Количество светодиодов: 16 шт.
Габаритные размеры (ДхШхВ): 1120х55х50 мм.
Масса: 1,5 кг</v>
      </c>
      <c r="D9" s="30">
        <v>4240</v>
      </c>
      <c r="E9" s="58">
        <v>16</v>
      </c>
    </row>
    <row r="10" spans="1:6" s="7" customFormat="1" ht="81" customHeight="1" thickBot="1" x14ac:dyDescent="0.4">
      <c r="A10" s="13">
        <v>4</v>
      </c>
      <c r="B10" s="16" t="s">
        <v>236</v>
      </c>
      <c r="C10" s="15" t="str">
        <f>"Потребление: от сети - 10 Вт.
Световой поток: "&amp;E10*$E$5&amp;" Лм. (5000К)
Световой поток с учетом потерь на оптике: "&amp;ROUND((E10*$E$5)-((E10*$E$5)*$E$3/100),0)&amp;" Лм. (5000К)
Количество светодиодов: "&amp;E10&amp;" шт.
Габаритные размеры (ДхШхВ): 570х55х50 мм.
Масса: 0,5 кг"</f>
        <v>Потребление: от сети - 10 Вт.
Световой поток: 1504 Лм. (5000К)
Световой поток с учетом потерь на оптике: 1399 Лм. (5000К)
Количество светодиодов: 16 шт.
Габаритные размеры (ДхШхВ): 570х55х50 мм.
Масса: 0,5 кг</v>
      </c>
      <c r="D10" s="30">
        <v>3290</v>
      </c>
      <c r="E10" s="58">
        <v>16</v>
      </c>
    </row>
    <row r="11" spans="1:6" s="7" customFormat="1" ht="81" customHeight="1" thickBot="1" x14ac:dyDescent="0.4">
      <c r="A11" s="13">
        <v>5</v>
      </c>
      <c r="B11" s="16" t="s">
        <v>237</v>
      </c>
      <c r="C11" s="15" t="str">
        <f>"Потребление: от сети - 12 Вт.
Световой поток: "&amp;E11*$E$5&amp;" Лм. (5000К)
Световой поток с учетом потерь на оптике: "&amp;ROUND((E11*$E$5)-((E11*$E$5)*$E$3/100),0)&amp;" Лм. (5000К)
Количество светодиодов: "&amp;E11&amp;" шт.
Габаритные размеры (ДхШхВ): 220х55х50 мм.
Масса: 0,5 кг"</f>
        <v>Потребление: от сети - 12 Вт.
Световой поток: 1880 Лм. (5000К)
Световой поток с учетом потерь на оптике: 1749 Лм. (5000К)
Количество светодиодов: 20 шт.
Габаритные размеры (ДхШхВ): 220х55х50 мм.
Масса: 0,5 кг</v>
      </c>
      <c r="D11" s="30">
        <v>2960</v>
      </c>
      <c r="E11" s="58">
        <v>20</v>
      </c>
    </row>
    <row r="12" spans="1:6" s="7" customFormat="1" ht="81" customHeight="1" thickBot="1" x14ac:dyDescent="0.4">
      <c r="A12" s="13">
        <v>6</v>
      </c>
      <c r="B12" s="16" t="s">
        <v>238</v>
      </c>
      <c r="C12" s="15" t="str">
        <f>"Потребление: от сети - 15 Вт.
Световой поток: "&amp;E12*$E$5&amp;" Лм. (5000К)
Световой поток с учетом потерь на оптике: "&amp;ROUND((E12*$E$5)-((E12*$E$5)*$E$3/100),0)&amp;" Лм. (5000К)
Количество светодиодов: "&amp;E12&amp;" шт.
Габаритные размеры (ДхШхВ): 480х55х50 мм.
Масса: 0,8 кг"</f>
        <v>Потребление: от сети - 15 Вт.
Световой поток: 2256 Лм. (5000К)
Световой поток с учетом потерь на оптике: 2099 Лм. (5000К)
Количество светодиодов: 24 шт.
Габаритные размеры (ДхШхВ): 480х55х50 мм.
Масса: 0,8 кг</v>
      </c>
      <c r="D12" s="30">
        <v>3380</v>
      </c>
      <c r="E12" s="58">
        <v>24</v>
      </c>
    </row>
    <row r="13" spans="1:6" s="7" customFormat="1" ht="81" customHeight="1" thickBot="1" x14ac:dyDescent="0.4">
      <c r="A13" s="13">
        <v>7</v>
      </c>
      <c r="B13" s="16" t="s">
        <v>239</v>
      </c>
      <c r="C13" s="15" t="str">
        <f>"Потребление: от сети - 15 Вт.
Световой поток: "&amp;E13*$E$5&amp;" Лм. (5000К)
Световой поток с учетом потерь на оптике: "&amp;ROUND((E13*$E$5)-((E13*$E$5)*$E$3/100),0)&amp;" Лм. (5000К)
Количество светодиодов: "&amp;E13&amp;" шт.
Габаритные размеры (ДхШхВ): 940х55х50 мм.
Масса: 1,2 кг"</f>
        <v>Потребление: от сети - 15 Вт.
Световой поток: 2256 Лм. (5000К)
Световой поток с учетом потерь на оптике: 2099 Лм. (5000К)
Количество светодиодов: 24 шт.
Габаритные размеры (ДхШхВ): 940х55х50 мм.
Масса: 1,2 кг</v>
      </c>
      <c r="D13" s="30">
        <v>4750</v>
      </c>
      <c r="E13" s="58">
        <v>24</v>
      </c>
    </row>
    <row r="14" spans="1:6" s="7" customFormat="1" ht="81" customHeight="1" thickBot="1" x14ac:dyDescent="0.4">
      <c r="A14" s="13">
        <v>8</v>
      </c>
      <c r="B14" s="16" t="s">
        <v>240</v>
      </c>
      <c r="C14" s="15" t="str">
        <f>"Потребление: от сети - 18 Вт.
Световой поток: "&amp;E14*$E$5&amp;" Лм. (5000К)
Световой поток с учетом потерь на оптике: "&amp;ROUND((E14*$E$5)-((E14*$E$5)*$E$3/100),0)&amp;" Лм. (5000К)
Количество светодиодов: "&amp;E14&amp;" шт.
Габаритные размеры (ДхШхВ): 480х55х50 мм.
Масса: 0,8 кг"</f>
        <v>Потребление: от сети - 18 Вт.
Световой поток: 2632 Лм. (5000К)
Световой поток с учетом потерь на оптике: 2449 Лм. (5000К)
Количество светодиодов: 28 шт.
Габаритные размеры (ДхШхВ): 480х55х50 мм.
Масса: 0,8 кг</v>
      </c>
      <c r="D14" s="30">
        <v>3460</v>
      </c>
      <c r="E14" s="58">
        <v>28</v>
      </c>
    </row>
    <row r="15" spans="1:6" s="7" customFormat="1" ht="81" customHeight="1" thickBot="1" x14ac:dyDescent="0.4">
      <c r="A15" s="13">
        <v>9</v>
      </c>
      <c r="B15" s="16" t="s">
        <v>31</v>
      </c>
      <c r="C15" s="15" t="str">
        <f>"Потребление: от сети - 18 Вт.
Световой поток: "&amp;E15*$E$5&amp;" Лм. (5000К)
Световой поток с учетом потерь на оптике: "&amp;ROUND((E15*$E$5)-((E15*$E$5)*$E$3/100),0)&amp;" Лм. (5000К)
Количество светодиодов: "&amp;E15&amp;" шт.
Габаритные размеры (ДхШхВ): 940х55х50 мм.
Масса: 1,2 кг"</f>
        <v>Потребление: от сети - 18 Вт.
Световой поток: 2632 Лм. (5000К)
Световой поток с учетом потерь на оптике: 2449 Лм. (5000К)
Количество светодиодов: 28 шт.
Габаритные размеры (ДхШхВ): 940х55х50 мм.
Масса: 1,2 кг</v>
      </c>
      <c r="D15" s="30">
        <v>3950</v>
      </c>
      <c r="E15" s="58">
        <v>28</v>
      </c>
    </row>
    <row r="16" spans="1:6" s="7" customFormat="1" ht="81" customHeight="1" thickBot="1" x14ac:dyDescent="0.4">
      <c r="A16" s="13">
        <v>10</v>
      </c>
      <c r="B16" s="16" t="s">
        <v>241</v>
      </c>
      <c r="C16" s="15" t="str">
        <f>"Потребление: от сети - 20 Вт.
Световой поток: "&amp;E16*$E$5&amp;" Лм. (5000К)
Световой поток с учетом потерь на оптике: "&amp;ROUND((E16*$E$5)-((E16*$E$5)*$E$3/100),0)&amp;" Лм. (5000К)
Количество светодиодов: "&amp;E16&amp;" шт.
Габаритные размеры (ДхШхВ): 570х55х50 мм.
Масса: 0,9 кг"</f>
        <v>Потребление: от сети - 20 Вт.
Световой поток: 3008 Лм. (5000К)
Световой поток с учетом потерь на оптике: 2799 Лм. (5000К)
Количество светодиодов: 32 шт.
Габаритные размеры (ДхШхВ): 570х55х50 мм.
Масса: 0,9 кг</v>
      </c>
      <c r="D16" s="30">
        <v>4140</v>
      </c>
      <c r="E16" s="58">
        <v>32</v>
      </c>
    </row>
    <row r="17" spans="1:5" s="7" customFormat="1" ht="81" customHeight="1" thickBot="1" x14ac:dyDescent="0.4">
      <c r="A17" s="13">
        <v>11</v>
      </c>
      <c r="B17" s="16" t="s">
        <v>242</v>
      </c>
      <c r="C17" s="15" t="str">
        <f>"Потребление: от сети - 20 Вт.
Световой поток: "&amp;E17*$E$5&amp;" Лм. (5000К)
Световой поток с учетом потерь на оптике: "&amp;ROUND((E17*$E$5)-((E17*$E$5)*$E$3/100),0)&amp;" Лм. (5000К)
Количество светодиодов: "&amp;E17&amp;" шт.
Габаритные размеры (ДхШхВ): 1120х55х50 мм.
Масса: 1,5 кг"</f>
        <v>Потребление: от сети - 20 Вт.
Световой поток: 3008 Лм. (5000К)
Световой поток с учетом потерь на оптике: 2799 Лм. (5000К)
Количество светодиодов: 32 шт.
Габаритные размеры (ДхШхВ): 1120х55х50 мм.
Масса: 1,5 кг</v>
      </c>
      <c r="D17" s="30">
        <v>4750</v>
      </c>
      <c r="E17" s="58">
        <v>32</v>
      </c>
    </row>
    <row r="18" spans="1:5" s="7" customFormat="1" ht="81" customHeight="1" thickBot="1" x14ac:dyDescent="0.4">
      <c r="A18" s="13">
        <v>12</v>
      </c>
      <c r="B18" s="16" t="s">
        <v>243</v>
      </c>
      <c r="C18" s="15" t="str">
        <f>"Потребление: от сети - 30 Вт.
Световой поток: "&amp;E18*$E$5&amp;" Лм. (5000К)
Световой поток с учетом потерь на оптике: "&amp;ROUND((E18*$E$5)-((E18*$E$5)*$E$3/100),0)&amp;" Лм. (5000К)
Количество светодиодов: "&amp;E18&amp;" шт.
Габаритные размеры (ДхШхВ): 940х55х50 мм.
Масса: 1,2 кг"</f>
        <v>Потребление: от сети - 30 Вт.
Световой поток: 4512 Лм. (5000К)
Световой поток с учетом потерь на оптике: 4198 Лм. (5000К)
Количество светодиодов: 48 шт.
Габаритные размеры (ДхШхВ): 940х55х50 мм.
Масса: 1,2 кг</v>
      </c>
      <c r="D18" s="30">
        <v>5510</v>
      </c>
      <c r="E18" s="58">
        <v>48</v>
      </c>
    </row>
    <row r="19" spans="1:5" s="7" customFormat="1" ht="81" customHeight="1" thickBot="1" x14ac:dyDescent="0.4">
      <c r="A19" s="13">
        <v>13</v>
      </c>
      <c r="B19" s="16" t="s">
        <v>244</v>
      </c>
      <c r="C19" s="15" t="str">
        <f>"Потребление: от сети - 35 Вт.
Световой поток: "&amp;E19*$E$5&amp;" Лм. (5000К)
Световой поток с учетом потерь на оптике: "&amp;ROUND((E19*$E$5)-((E19*$E$5)*$E$3/100),0)&amp;" Лм. (5000К)
Количество светодиодов: "&amp;E19&amp;" шт.
Габаритные размеры (ДхШхВ): 940х55х50 мм.
Масса: 1,2 кг"</f>
        <v>Потребление: от сети - 35 Вт.
Световой поток: 5264 Лм. (5000К)
Световой поток с учетом потерь на оптике: 4898 Лм. (5000К)
Количество светодиодов: 56 шт.
Габаритные размеры (ДхШхВ): 940х55х50 мм.
Масса: 1,2 кг</v>
      </c>
      <c r="D19" s="30">
        <v>5610</v>
      </c>
      <c r="E19" s="58">
        <v>56</v>
      </c>
    </row>
    <row r="20" spans="1:5" s="7" customFormat="1" ht="81" customHeight="1" thickBot="1" x14ac:dyDescent="0.4">
      <c r="A20" s="17">
        <v>14</v>
      </c>
      <c r="B20" s="20" t="s">
        <v>245</v>
      </c>
      <c r="C20" s="19" t="str">
        <f>"Потребление: от сети - 40 Вт.
Световой поток: "&amp;E20*$E$5&amp;" Лм. (5000К)
Световой поток с учетом потерь на оптике: "&amp;ROUND((E20*$E$5)-((E20*$E$5)*$E$3/100),0)&amp;" Лм. (5000К)
Количество светодиодов: "&amp;E20&amp;" шт.
Габаритные размеры (ДхШхВ): 1120х55х50 мм.
Масса: 1,5 кг"</f>
        <v>Потребление: от сети - 40 Вт.
Световой поток: 6016 Лм. (5000К)
Световой поток с учетом потерь на оптике: 5597 Лм. (5000К)
Количество светодиодов: 64 шт.
Габаритные размеры (ДхШхВ): 1120х55х50 мм.
Масса: 1,5 кг</v>
      </c>
      <c r="D20" s="30">
        <v>5920</v>
      </c>
      <c r="E20" s="62">
        <v>64</v>
      </c>
    </row>
  </sheetData>
  <mergeCells count="5">
    <mergeCell ref="A2:D2"/>
    <mergeCell ref="A3:D3"/>
    <mergeCell ref="A4:D4"/>
    <mergeCell ref="A5:D5"/>
    <mergeCell ref="C1:F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6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99FF"/>
  </sheetPr>
  <dimension ref="A1:F24"/>
  <sheetViews>
    <sheetView zoomScale="70" zoomScaleNormal="70" zoomScaleSheetLayoutView="120" workbookViewId="0">
      <selection activeCell="C1" sqref="C1:F1"/>
    </sheetView>
  </sheetViews>
  <sheetFormatPr defaultColWidth="9.1796875" defaultRowHeight="23.5" x14ac:dyDescent="0.35"/>
  <cols>
    <col min="1" max="1" width="5.7265625" style="3" customWidth="1"/>
    <col min="2" max="2" width="18.7265625" style="4" customWidth="1"/>
    <col min="3" max="3" width="70.6328125" style="6" customWidth="1"/>
    <col min="4" max="4" width="23.54296875" style="5" customWidth="1"/>
    <col min="5" max="5" width="5.81640625" style="59" hidden="1" customWidth="1"/>
    <col min="6" max="16384" width="9.1796875" style="3"/>
  </cols>
  <sheetData>
    <row r="1" spans="1:6" s="7" customFormat="1" ht="98" customHeight="1" thickBot="1" x14ac:dyDescent="0.4">
      <c r="C1" s="86" t="s">
        <v>296</v>
      </c>
      <c r="D1" s="86"/>
      <c r="E1" s="86"/>
      <c r="F1" s="86"/>
    </row>
    <row r="2" spans="1:6" s="7" customFormat="1" ht="22" hidden="1" customHeight="1" thickBot="1" x14ac:dyDescent="0.4">
      <c r="E2" s="63">
        <v>22</v>
      </c>
    </row>
    <row r="3" spans="1:6" s="7" customFormat="1" ht="15" thickBot="1" x14ac:dyDescent="0.4">
      <c r="A3" s="104" t="s">
        <v>246</v>
      </c>
      <c r="B3" s="105"/>
      <c r="C3" s="105"/>
      <c r="D3" s="105"/>
      <c r="E3" s="53" t="s">
        <v>45</v>
      </c>
    </row>
    <row r="4" spans="1:6" s="7" customFormat="1" ht="107.25" customHeight="1" thickBot="1" x14ac:dyDescent="0.4">
      <c r="A4" s="114"/>
      <c r="B4" s="115"/>
      <c r="C4" s="115"/>
      <c r="D4" s="115"/>
      <c r="E4" s="54">
        <v>5.4</v>
      </c>
    </row>
    <row r="5" spans="1:6" s="7" customFormat="1" ht="15" thickBot="1" x14ac:dyDescent="0.4">
      <c r="A5" s="116" t="s">
        <v>13</v>
      </c>
      <c r="B5" s="117"/>
      <c r="C5" s="117"/>
      <c r="D5" s="117"/>
      <c r="E5" s="55" t="s">
        <v>48</v>
      </c>
    </row>
    <row r="6" spans="1:6" s="7" customFormat="1" ht="54" customHeight="1" thickBot="1" x14ac:dyDescent="0.4">
      <c r="A6" s="118" t="s">
        <v>54</v>
      </c>
      <c r="B6" s="119"/>
      <c r="C6" s="120"/>
      <c r="D6" s="120"/>
      <c r="E6" s="56">
        <v>87</v>
      </c>
    </row>
    <row r="7" spans="1:6" s="7" customFormat="1" ht="40.5" customHeight="1" thickBot="1" x14ac:dyDescent="0.4">
      <c r="A7" s="34" t="s">
        <v>11</v>
      </c>
      <c r="B7" s="35" t="s">
        <v>15</v>
      </c>
      <c r="C7" s="35" t="s">
        <v>12</v>
      </c>
      <c r="D7" s="36" t="s">
        <v>37</v>
      </c>
      <c r="E7" s="57" t="s">
        <v>47</v>
      </c>
    </row>
    <row r="8" spans="1:6" s="7" customFormat="1" ht="94.5" customHeight="1" thickBot="1" x14ac:dyDescent="0.4">
      <c r="A8" s="27">
        <v>1</v>
      </c>
      <c r="B8" s="32" t="s">
        <v>247</v>
      </c>
      <c r="C8" s="29" t="str">
        <f>"Потребление: от сети - 30 Вт.
Световой поток: "&amp;E8*$E$6&amp;" Лм. (5000К)
Световой поток с учетом потерь на оптике: "&amp;ROUND((E8*$E$6)-((E8*$E$6)*$E$4/100),0)&amp;" Лм. (5000К)
Световой поток с учетом потерь на OPAL: "&amp;ROUND((E8*$E$6-(E8*$E$6*$E$2/100))-((E8*$E$6-(E8*$E$6*$E$2/100))*$E$4/100),0)&amp;" Лм. (5000К)
Количество светодиодов: "&amp;E8&amp;" шт.
Габаритные размеры (ДхШхВ): 1200х180х40 мм.
Масса: 3,5 кг"</f>
        <v>Потребление: от сети - 30 Вт.
Световой поток: 4176 Лм. (5000К)
Световой поток с учетом потерь на оптике: 3950 Лм. (5000К)
Световой поток с учетом потерь на OPAL: 3081 Лм. (5000К)
Количество светодиодов: 48 шт.
Габаритные размеры (ДхШхВ): 1200х180х40 мм.
Масса: 3,5 кг</v>
      </c>
      <c r="D8" s="30">
        <v>3920</v>
      </c>
      <c r="E8" s="58">
        <v>48</v>
      </c>
    </row>
    <row r="9" spans="1:6" s="7" customFormat="1" ht="94.5" customHeight="1" thickBot="1" x14ac:dyDescent="0.4">
      <c r="A9" s="13">
        <v>2</v>
      </c>
      <c r="B9" s="16" t="s">
        <v>248</v>
      </c>
      <c r="C9" s="15" t="str">
        <f>"Потребление: от сети - 35 Вт.
Световой поток: "&amp;E9*$E$6&amp;" Лм. (5000К)
Световой поток с учетом потерь на оптике: "&amp;ROUND((E9*$E$6)-((E9*$E$6)*$E$4/100),0)&amp;" Лм. (5000К)
Световой поток с учетом потерь на OPAL: "&amp;ROUND((E9*$E$6-(E9*$E$6*$E$2/100))-((E9*$E$6-(E9*$E$6*$E$2/100))*$E$4/100),0)&amp;" Лм. (5000К)
Количество светодиодов: "&amp;E9&amp;" шт.
Габаритные размеры (ДхШхВ): 1200х180х40 мм.
Масса: 3,5 кг"</f>
        <v>Потребление: от сети - 35 Вт.
Световой поток: 4872 Лм. (5000К)
Световой поток с учетом потерь на оптике: 4609 Лм. (5000К)
Световой поток с учетом потерь на OPAL: 3595 Лм. (5000К)
Количество светодиодов: 56 шт.
Габаритные размеры (ДхШхВ): 1200х180х40 мм.
Масса: 3,5 кг</v>
      </c>
      <c r="D9" s="30">
        <v>4060</v>
      </c>
      <c r="E9" s="58">
        <v>56</v>
      </c>
    </row>
    <row r="10" spans="1:6" s="7" customFormat="1" ht="94.5" customHeight="1" thickBot="1" x14ac:dyDescent="0.4">
      <c r="A10" s="17">
        <v>3</v>
      </c>
      <c r="B10" s="20" t="s">
        <v>249</v>
      </c>
      <c r="C10" s="19" t="str">
        <f>"Потребление: от сети - 40 Вт.
Световой поток: "&amp;E10*$E$6&amp;" Лм. (5000К)
Световой поток с учетом потерь на оптике: "&amp;ROUND((E10*$E$6)-((E10*$E$6)*$E$4/100),0)&amp;" Лм. (5000К)
Световой поток с учетом потерь на OPAL: "&amp;ROUND((E10*$E$6-(E10*$E$6*$E$2/100))-((E10*$E$6-(E10*$E$6*$E$2/100))*$E$4/100),0)&amp;" Лм. (5000К)
Количество светодиодов: "&amp;E10&amp;" шт.
Габаритные размеры (ДхШхВ): 1200х180х40 мм.
Масса: 3,5 кг"</f>
        <v>Потребление: от сети - 40 Вт.
Световой поток: 5568 Лм. (5000К)
Световой поток с учетом потерь на оптике: 5267 Лм. (5000К)
Световой поток с учетом потерь на OPAL: 4109 Лм. (5000К)
Количество светодиодов: 64 шт.
Габаритные размеры (ДхШхВ): 1200х180х40 мм.
Масса: 3,5 кг</v>
      </c>
      <c r="D10" s="30">
        <v>4350</v>
      </c>
      <c r="E10" s="58">
        <v>64</v>
      </c>
    </row>
    <row r="11" spans="1:6" s="7" customFormat="1" ht="94.5" customHeight="1" thickBot="1" x14ac:dyDescent="0.4">
      <c r="A11" s="10">
        <v>4</v>
      </c>
      <c r="B11" s="64" t="s">
        <v>250</v>
      </c>
      <c r="C11" s="12" t="str">
        <f>"Потребление: от сети - 30 Вт.
Световой поток: "&amp;E11*$E$6&amp;" Лм. (5000К)
Световой поток с учетом потерь на оптике: "&amp;ROUND((E11*$E$6)-((E11*$E$6)*$E$4/100),0)&amp;" Лм. (5000К)
Световой поток с учетом потерь на OPAL: "&amp;ROUND((E11*$E$6-(E11*$E$6*$E$2/100))-((E11*$E$6-(E11*$E$6*$E$2/100))*$E$4/100),0)&amp;" Лм. (5000К)
Количество светодиодов: "&amp;E11&amp;" шт.
Габаритные размеры (ДхШхВ): 1200х180х40 мм.
Масса: 3,5 кг"</f>
        <v>Потребление: от сети - 30 Вт.
Световой поток: 4176 Лм. (5000К)
Световой поток с учетом потерь на оптике: 3950 Лм. (5000К)
Световой поток с учетом потерь на OPAL: 3081 Лм. (5000К)
Количество светодиодов: 48 шт.
Габаритные размеры (ДхШхВ): 1200х180х40 мм.
Масса: 3,5 кг</v>
      </c>
      <c r="D11" s="30">
        <v>4670</v>
      </c>
      <c r="E11" s="58">
        <v>48</v>
      </c>
    </row>
    <row r="12" spans="1:6" s="7" customFormat="1" ht="94.5" customHeight="1" thickBot="1" x14ac:dyDescent="0.4">
      <c r="A12" s="13">
        <v>5</v>
      </c>
      <c r="B12" s="16" t="s">
        <v>251</v>
      </c>
      <c r="C12" s="15" t="str">
        <f>"Потребление: от сети - 35 Вт.
Световой поток: "&amp;E12*$E$6&amp;" Лм. (5000К)
Световой поток с учетом потерь на оптике: "&amp;ROUND((E12*$E$6)-((E12*$E$6)*$E$4/100),0)&amp;" Лм. (5000К)
Световой поток с учетом потерь на OPAL: "&amp;ROUND((E12*$E$6-(E12*$E$6*$E$2/100))-((E12*$E$6-(E12*$E$6*$E$2/100))*$E$4/100),0)&amp;" Лм. (5000К)
Количество светодиодов: "&amp;E12&amp;" шт.
Габаритные размеры (ДхШхВ): 1200х180х40 мм.
Масса: 3,5 кг"</f>
        <v>Потребление: от сети - 35 Вт.
Световой поток: 4872 Лм. (5000К)
Световой поток с учетом потерь на оптике: 4609 Лм. (5000К)
Световой поток с учетом потерь на OPAL: 3595 Лм. (5000К)
Количество светодиодов: 56 шт.
Габаритные размеры (ДхШхВ): 1200х180х40 мм.
Масса: 3,5 кг</v>
      </c>
      <c r="D12" s="30">
        <v>4780</v>
      </c>
      <c r="E12" s="58">
        <v>56</v>
      </c>
    </row>
    <row r="13" spans="1:6" s="7" customFormat="1" ht="94.5" customHeight="1" thickBot="1" x14ac:dyDescent="0.4">
      <c r="A13" s="17">
        <v>6</v>
      </c>
      <c r="B13" s="20" t="s">
        <v>252</v>
      </c>
      <c r="C13" s="19" t="str">
        <f>"Потребление: от сети - 40 Вт.
Световой поток: "&amp;E13*$E$6&amp;" Лм. (5000К)
Световой поток с учетом потерь на оптике: "&amp;ROUND((E13*$E$6)-((E13*$E$6)*$E$4/100),0)&amp;" Лм. (5000К)
Световой поток с учетом потерь на OPAL: "&amp;ROUND((E13*$E$6-(E13*$E$6*$E$2/100))-((E13*$E$6-(E13*$E$6*$E$2/100))*$E$4/100),0)&amp;" Лм. (5000К)
Количество светодиодов: "&amp;E13&amp;" шт.
Габаритные размеры (ДхШхВ): 1200х180х40 мм.
Масса: 3,5 кг"</f>
        <v>Потребление: от сети - 40 Вт.
Световой поток: 5568 Лм. (5000К)
Световой поток с учетом потерь на оптике: 5267 Лм. (5000К)
Световой поток с учетом потерь на OPAL: 4109 Лм. (5000К)
Количество светодиодов: 64 шт.
Габаритные размеры (ДхШхВ): 1200х180х40 мм.
Масса: 3,5 кг</v>
      </c>
      <c r="D13" s="30">
        <v>5180</v>
      </c>
      <c r="E13" s="58">
        <v>64</v>
      </c>
    </row>
    <row r="14" spans="1:6" s="7" customFormat="1" ht="15" thickBot="1" x14ac:dyDescent="0.4">
      <c r="A14" s="121" t="s">
        <v>253</v>
      </c>
      <c r="B14" s="122"/>
      <c r="C14" s="122"/>
      <c r="D14" s="122"/>
      <c r="E14" s="58"/>
    </row>
    <row r="15" spans="1:6" s="7" customFormat="1" ht="107.25" customHeight="1" thickBot="1" x14ac:dyDescent="0.4">
      <c r="A15" s="114"/>
      <c r="B15" s="115"/>
      <c r="C15" s="115"/>
      <c r="D15" s="115"/>
      <c r="E15" s="58"/>
    </row>
    <row r="16" spans="1:6" s="7" customFormat="1" ht="15" thickBot="1" x14ac:dyDescent="0.4">
      <c r="A16" s="116" t="s">
        <v>13</v>
      </c>
      <c r="B16" s="117"/>
      <c r="C16" s="117"/>
      <c r="D16" s="117"/>
      <c r="E16" s="58"/>
    </row>
    <row r="17" spans="1:5" s="7" customFormat="1" ht="54" customHeight="1" thickBot="1" x14ac:dyDescent="0.4">
      <c r="A17" s="118" t="s">
        <v>54</v>
      </c>
      <c r="B17" s="119"/>
      <c r="C17" s="120"/>
      <c r="D17" s="120"/>
      <c r="E17" s="58"/>
    </row>
    <row r="18" spans="1:5" s="7" customFormat="1" ht="40.5" customHeight="1" thickBot="1" x14ac:dyDescent="0.4">
      <c r="A18" s="34" t="s">
        <v>11</v>
      </c>
      <c r="B18" s="35" t="s">
        <v>15</v>
      </c>
      <c r="C18" s="35" t="s">
        <v>12</v>
      </c>
      <c r="D18" s="36" t="s">
        <v>37</v>
      </c>
      <c r="E18" s="58"/>
    </row>
    <row r="19" spans="1:5" s="7" customFormat="1" ht="94.5" customHeight="1" thickBot="1" x14ac:dyDescent="0.4">
      <c r="A19" s="27">
        <v>1</v>
      </c>
      <c r="B19" s="32" t="s">
        <v>254</v>
      </c>
      <c r="C19" s="29" t="str">
        <f>"Потребление: от сети - 30 Вт.
Световой поток: "&amp;E19*$E$6&amp;" Лм. (5000К)
Световой поток с учетом потерь на оптике: "&amp;ROUND((E19*$E$6)-((E19*$E$6)*$E$4/100),0)&amp;" Лм. (5000К)
Световой поток с учетом потерь на OPAL: "&amp;ROUND((E19*$E$6-(E19*$E$6*$E$2/100))-((E19*$E$6-(E19*$E$6*$E$2/100))*$E$4/100),0)&amp;" Лм. (5000К)
Количество светодиодов: "&amp;E19&amp;" шт.
Габаритные размеры (ДхШхВ): 595х595х40 мм.
Масса: 3,5 кг"</f>
        <v>Потребление: от сети - 30 Вт.
Световой поток: 4176 Лм. (5000К)
Световой поток с учетом потерь на оптике: 3950 Лм. (5000К)
Световой поток с учетом потерь на OPAL: 3081 Лм. (5000К)
Количество светодиодов: 48 шт.
Габаритные размеры (ДхШхВ): 595х595х40 мм.
Масса: 3,5 кг</v>
      </c>
      <c r="D19" s="30">
        <v>3920</v>
      </c>
      <c r="E19" s="58">
        <v>48</v>
      </c>
    </row>
    <row r="20" spans="1:5" s="7" customFormat="1" ht="94.5" customHeight="1" thickBot="1" x14ac:dyDescent="0.4">
      <c r="A20" s="13">
        <v>2</v>
      </c>
      <c r="B20" s="16" t="s">
        <v>255</v>
      </c>
      <c r="C20" s="15" t="str">
        <f>"Потребление: от сети - 35 Вт.
Световой поток: "&amp;E20*$E$6&amp;" Лм. (5000К)
Световой поток с учетом потерь на оптике: "&amp;ROUND((E20*$E$6)-((E20*$E$6)*$E$4/100),0)&amp;" Лм. (5000К)
Световой поток с учетом потерь на OPAL: "&amp;ROUND((E20*$E$6-(E20*$E$6*$E$2/100))-((E20*$E$6-(E20*$E$6*$E$2/100))*$E$4/100),0)&amp;" Лм. (5000К)
Количество светодиодов: "&amp;E20&amp;" шт.
Габаритные размеры (ДхШхВ): 595х595х40 мм.
Масса: 3,5 кг"</f>
        <v>Потребление: от сети - 35 Вт.
Световой поток: 4872 Лм. (5000К)
Световой поток с учетом потерь на оптике: 4609 Лм. (5000К)
Световой поток с учетом потерь на OPAL: 3595 Лм. (5000К)
Количество светодиодов: 56 шт.
Габаритные размеры (ДхШхВ): 595х595х40 мм.
Масса: 3,5 кг</v>
      </c>
      <c r="D20" s="30">
        <v>4060</v>
      </c>
      <c r="E20" s="58">
        <v>56</v>
      </c>
    </row>
    <row r="21" spans="1:5" s="7" customFormat="1" ht="94.5" customHeight="1" thickBot="1" x14ac:dyDescent="0.4">
      <c r="A21" s="17">
        <v>3</v>
      </c>
      <c r="B21" s="20" t="s">
        <v>256</v>
      </c>
      <c r="C21" s="19" t="str">
        <f>"Потребление: от сети - 40 Вт.
Световой поток: "&amp;E21*$E$6&amp;" Лм. (5000К)
Световой поток с учетом потерь на оптике: "&amp;ROUND((E21*$E$6)-((E21*$E$6)*$E$4/100),0)&amp;" Лм. (5000К)
Световой поток с учетом потерь на OPAL: "&amp;ROUND((E21*$E$6-(E21*$E$6*$E$2/100))-((E21*$E$6-(E21*$E$6*$E$2/100))*$E$4/100),0)&amp;" Лм. (5000К)
Количество светодиодов: "&amp;E21&amp;" шт.
Габаритные размеры (ДхШхВ): 595х595х40 мм.
Масса: 3,5 кг"</f>
        <v>Потребление: от сети - 40 Вт.
Световой поток: 5568 Лм. (5000К)
Световой поток с учетом потерь на оптике: 5267 Лм. (5000К)
Световой поток с учетом потерь на OPAL: 4109 Лм. (5000К)
Количество светодиодов: 64 шт.
Габаритные размеры (ДхШхВ): 595х595х40 мм.
Масса: 3,5 кг</v>
      </c>
      <c r="D21" s="30">
        <v>4350</v>
      </c>
      <c r="E21" s="58">
        <v>64</v>
      </c>
    </row>
    <row r="22" spans="1:5" s="7" customFormat="1" ht="94.5" customHeight="1" thickBot="1" x14ac:dyDescent="0.4">
      <c r="A22" s="27">
        <v>4</v>
      </c>
      <c r="B22" s="32" t="s">
        <v>257</v>
      </c>
      <c r="C22" s="12" t="str">
        <f>"Потребление: от сети - 30 Вт.
Световой поток: "&amp;E22*$E$6&amp;" Лм. (5000К)
Световой поток с учетом потерь на оптике: "&amp;ROUND((E22*$E$6)-((E22*$E$6)*$E$4/100),0)&amp;" Лм. (5000К)
Световой поток с учетом потерь на OPAL: "&amp;ROUND((E22*$E$6-(E22*$E$6*$E$2/100))-((E22*$E$6-(E22*$E$6*$E$2/100))*$E$4/100),0)&amp;" Лм. (5000К)
Количество светодиодов: "&amp;E22&amp;" шт.
Габаритные размеры (ДхШхВ): 595х595х40 мм.
Масса: 3,5 кг"</f>
        <v>Потребление: от сети - 30 Вт.
Световой поток: 4176 Лм. (5000К)
Световой поток с учетом потерь на оптике: 3950 Лм. (5000К)
Световой поток с учетом потерь на OPAL: 3081 Лм. (5000К)
Количество светодиодов: 48 шт.
Габаритные размеры (ДхШхВ): 595х595х40 мм.
Масса: 3,5 кг</v>
      </c>
      <c r="D22" s="30">
        <v>4670</v>
      </c>
      <c r="E22" s="58">
        <v>48</v>
      </c>
    </row>
    <row r="23" spans="1:5" s="7" customFormat="1" ht="94.5" customHeight="1" thickBot="1" x14ac:dyDescent="0.4">
      <c r="A23" s="13">
        <v>5</v>
      </c>
      <c r="B23" s="16" t="s">
        <v>258</v>
      </c>
      <c r="C23" s="15" t="str">
        <f>"Потребление: от сети - 35 Вт.
Световой поток: "&amp;E23*$E$6&amp;" Лм. (5000К)
Световой поток с учетом потерь на оптике: "&amp;ROUND((E23*$E$6)-((E23*$E$6)*$E$4/100),0)&amp;" Лм. (5000К)
Световой поток с учетом потерь на OPAL: "&amp;ROUND((E23*$E$6-(E23*$E$6*$E$2/100))-((E23*$E$6-(E23*$E$6*$E$2/100))*$E$4/100),0)&amp;" Лм. (5000К)
Количество светодиодов: "&amp;E23&amp;" шт.
Габаритные размеры (ДхШхВ): 595х595х40 мм.
Масса: 3,5 кг"</f>
        <v>Потребление: от сети - 35 Вт.
Световой поток: 4872 Лм. (5000К)
Световой поток с учетом потерь на оптике: 4609 Лм. (5000К)
Световой поток с учетом потерь на OPAL: 3595 Лм. (5000К)
Количество светодиодов: 56 шт.
Габаритные размеры (ДхШхВ): 595х595х40 мм.
Масса: 3,5 кг</v>
      </c>
      <c r="D23" s="30">
        <v>4780</v>
      </c>
      <c r="E23" s="58">
        <v>56</v>
      </c>
    </row>
    <row r="24" spans="1:5" s="7" customFormat="1" ht="94.5" customHeight="1" thickBot="1" x14ac:dyDescent="0.4">
      <c r="A24" s="17">
        <v>6</v>
      </c>
      <c r="B24" s="20" t="s">
        <v>259</v>
      </c>
      <c r="C24" s="19" t="str">
        <f>"Потребление: от сети - 40 Вт.
Световой поток: "&amp;E24*$E$6&amp;" Лм. (5000К)
Световой поток с учетом потерь на оптике: "&amp;ROUND((E24*$E$6)-((E24*$E$6)*$E$4/100),0)&amp;" Лм. (5000К)
Световой поток с учетом потерь на OPAL: "&amp;ROUND((E24*$E$6-(E24*$E$6*$E$2/100))-((E24*$E$6-(E24*$E$6*$E$2/100))*$E$4/100),0)&amp;" Лм. (5000К)
Количество светодиодов: "&amp;E24&amp;" шт.
Габаритные размеры (ДхШхВ): 595х595х40 мм.
Масса: 3,5 кг"</f>
        <v>Потребление: от сети - 40 Вт.
Световой поток: 5568 Лм. (5000К)
Световой поток с учетом потерь на оптике: 5267 Лм. (5000К)
Световой поток с учетом потерь на OPAL: 4109 Лм. (5000К)
Количество светодиодов: 64 шт.
Габаритные размеры (ДхШхВ): 595х595х40 мм.
Масса: 3,5 кг</v>
      </c>
      <c r="D24" s="30">
        <v>5180</v>
      </c>
      <c r="E24" s="62">
        <v>64</v>
      </c>
    </row>
  </sheetData>
  <mergeCells count="9">
    <mergeCell ref="C1:F1"/>
    <mergeCell ref="A15:D15"/>
    <mergeCell ref="A16:D16"/>
    <mergeCell ref="A17:D17"/>
    <mergeCell ref="A3:D3"/>
    <mergeCell ref="A4:D4"/>
    <mergeCell ref="A5:D5"/>
    <mergeCell ref="A6:D6"/>
    <mergeCell ref="A14:D14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86" orientation="portrait" r:id="rId1"/>
  <rowBreaks count="1" manualBreakCount="1">
    <brk id="13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00"/>
    <pageSetUpPr fitToPage="1"/>
  </sheetPr>
  <dimension ref="A1:F41"/>
  <sheetViews>
    <sheetView zoomScale="70" zoomScaleNormal="70" zoomScaleSheetLayoutView="120" workbookViewId="0">
      <selection activeCell="C1" sqref="C1:F1"/>
    </sheetView>
  </sheetViews>
  <sheetFormatPr defaultColWidth="9.1796875" defaultRowHeight="23.5" x14ac:dyDescent="0.35"/>
  <cols>
    <col min="1" max="1" width="5.7265625" style="3" customWidth="1"/>
    <col min="2" max="2" width="29" style="4" customWidth="1"/>
    <col min="3" max="3" width="72.7265625" style="6" customWidth="1"/>
    <col min="4" max="4" width="20.6328125" style="5" customWidth="1"/>
    <col min="5" max="5" width="6.08984375" style="59" hidden="1" customWidth="1"/>
    <col min="6" max="16384" width="9.1796875" style="3"/>
  </cols>
  <sheetData>
    <row r="1" spans="1:6" s="7" customFormat="1" ht="96.5" customHeight="1" thickBot="1" x14ac:dyDescent="0.4">
      <c r="C1" s="86" t="s">
        <v>296</v>
      </c>
      <c r="D1" s="86"/>
      <c r="E1" s="86"/>
      <c r="F1" s="86"/>
    </row>
    <row r="2" spans="1:6" s="7" customFormat="1" ht="15" thickBot="1" x14ac:dyDescent="0.4">
      <c r="A2" s="104" t="s">
        <v>131</v>
      </c>
      <c r="B2" s="105"/>
      <c r="C2" s="105"/>
      <c r="D2" s="105"/>
      <c r="E2" s="53" t="s">
        <v>45</v>
      </c>
    </row>
    <row r="3" spans="1:6" s="7" customFormat="1" ht="107.25" customHeight="1" thickBot="1" x14ac:dyDescent="0.4">
      <c r="A3" s="114"/>
      <c r="B3" s="115"/>
      <c r="C3" s="115"/>
      <c r="D3" s="115"/>
      <c r="E3" s="54">
        <v>9</v>
      </c>
    </row>
    <row r="4" spans="1:6" s="7" customFormat="1" ht="15" thickBot="1" x14ac:dyDescent="0.4">
      <c r="A4" s="116" t="s">
        <v>13</v>
      </c>
      <c r="B4" s="117"/>
      <c r="C4" s="117"/>
      <c r="D4" s="117"/>
      <c r="E4" s="55" t="s">
        <v>46</v>
      </c>
    </row>
    <row r="5" spans="1:6" s="7" customFormat="1" ht="42.75" customHeight="1" thickBot="1" x14ac:dyDescent="0.4">
      <c r="A5" s="118" t="s">
        <v>59</v>
      </c>
      <c r="B5" s="119"/>
      <c r="C5" s="120"/>
      <c r="D5" s="120"/>
      <c r="E5" s="56">
        <v>94</v>
      </c>
    </row>
    <row r="6" spans="1:6" s="7" customFormat="1" ht="40.5" customHeight="1" thickBot="1" x14ac:dyDescent="0.4">
      <c r="A6" s="34" t="s">
        <v>11</v>
      </c>
      <c r="B6" s="35" t="s">
        <v>15</v>
      </c>
      <c r="C6" s="35" t="s">
        <v>12</v>
      </c>
      <c r="D6" s="36" t="s">
        <v>37</v>
      </c>
      <c r="E6" s="57" t="s">
        <v>47</v>
      </c>
    </row>
    <row r="7" spans="1:6" s="69" customFormat="1" ht="112.5" customHeight="1" x14ac:dyDescent="0.35">
      <c r="A7" s="66">
        <v>1</v>
      </c>
      <c r="B7" s="67" t="s">
        <v>132</v>
      </c>
      <c r="C7" s="68" t="str">
        <f>"Потребление: от сети - 15 Вт., светодиодов - 10 Вт.
Световой поток: "&amp;E7*$E$5&amp;" Лм. (5000К)
Световой поток с учетом потерь на оптике: "&amp;ROUND((E7*$E$5)-((E7*$E$5)*$E$3/100),0)&amp;" Лм. (5000К)
Количество светодиодов: "&amp;E7&amp;" шт.                                                                                  Диапазон напряжения DС: 10-38В
Сечение вводного кабеля: 3х1 мм²      
Габаритные размеры без консоли (ДхШхВ): 216х81х73 мм.
Масса: 2 кг"</f>
        <v>Потребление: от сети - 15 Вт., светодиодов - 10 Вт.
Световой поток: 1974 Лм. (5000К)
Световой поток с учетом потерь на оптике: 1796 Лм. (5000К)
Количество светодиодов: 21 шт.                                                                                  Диапазон напряжения DС: 10-38В
Сечение вводного кабеля: 3х1 мм²      
Габаритные размеры без консоли (ДхШхВ): 216х81х73 мм.
Масса: 2 кг</v>
      </c>
      <c r="D7" s="25">
        <v>3340</v>
      </c>
      <c r="E7" s="58">
        <v>21</v>
      </c>
    </row>
    <row r="8" spans="1:6" s="69" customFormat="1" ht="110.25" customHeight="1" x14ac:dyDescent="0.35">
      <c r="A8" s="70">
        <v>2</v>
      </c>
      <c r="B8" s="71" t="s">
        <v>133</v>
      </c>
      <c r="C8" s="72" t="str">
        <f>"Потребление: от сети - 25 Вт., светодиодов - 23 Вт.
Световой поток: "&amp;E8*$E$5&amp;" Лм. (5000К)
Световой поток с учетом потерь на оптике: "&amp;ROUND((E8*$E$5)-((E8*$E$5)*$E$3/100),0)&amp;" Лм. (5000К)
Количество светодиодов: "&amp;E8&amp;" шт.                                                                             Диапазон напряжения DС: 10-38В
Сечение вводного кабеля: 3х1 мм²      
Габаритные размеры без консоли (ДхШхВ): 266х81х73 мм.
Масса: 2,5 кг"</f>
        <v>Потребление: от сети - 25 Вт., светодиодов - 23 Вт.
Световой поток: 3948 Лм. (5000К)
Световой поток с учетом потерь на оптике: 3593 Лм. (5000К)
Количество светодиодов: 42 шт.                                                                             Диапазон напряжения DС: 10-38В
Сечение вводного кабеля: 3х1 мм²      
Габаритные размеры без консоли (ДхШхВ): 266х81х73 мм.
Масса: 2,5 кг</v>
      </c>
      <c r="D8" s="25">
        <v>4480</v>
      </c>
      <c r="E8" s="58">
        <v>42</v>
      </c>
    </row>
    <row r="9" spans="1:6" s="69" customFormat="1" ht="107.25" customHeight="1" x14ac:dyDescent="0.35">
      <c r="A9" s="70">
        <v>3</v>
      </c>
      <c r="B9" s="71" t="s">
        <v>134</v>
      </c>
      <c r="C9" s="72" t="str">
        <f>"Потребление: от сети - 35 Вт., светодиодов - 32 Вт.
Световой поток: "&amp;E9*$E$5&amp;" Лм. (5000К)
Световой поток с учетом потерь на оптике: "&amp;ROUND((E9*$E$5)-((E9*$E$5)*$E$3/100),0)&amp;" Лм. (5000К)
Количество светодиодов: "&amp;E9&amp;" шт.                                                                        Диапазон напряжения DС: 10-38В
Сечение вводного кабеля: 3х1 мм²      
Габаритные размеры без консоли (ДхШхВ): 356х81х73 мм.
Масса: 3 кг"</f>
        <v>Потребление: от сети - 35 Вт., светодиодов - 32 Вт.
Световой поток: 5922 Лм. (5000К)
Световой поток с учетом потерь на оптике: 5389 Лм. (5000К)
Количество светодиодов: 63 шт.                                                                        Диапазон напряжения DС: 10-38В
Сечение вводного кабеля: 3х1 мм²      
Габаритные размеры без консоли (ДхШхВ): 356х81х73 мм.
Масса: 3 кг</v>
      </c>
      <c r="D9" s="25">
        <v>5520</v>
      </c>
      <c r="E9" s="58">
        <v>63</v>
      </c>
    </row>
    <row r="10" spans="1:6" s="69" customFormat="1" ht="108" customHeight="1" x14ac:dyDescent="0.35">
      <c r="A10" s="70">
        <v>4</v>
      </c>
      <c r="B10" s="71" t="s">
        <v>135</v>
      </c>
      <c r="C10" s="72" t="str">
        <f>"Потребление: от сети - 50 Вт., светодиодов - 48 Вт.
Световой поток: "&amp;E10*$E$5&amp;" Лм. (5000К)
Световой поток с учетом потерь на оптике: "&amp;ROUND((E10*$E$5)-((E10*$E$5)*$E$3/100),0)&amp;" Лм. (5000К)
Количество светодиодов: "&amp;E10&amp;" шт.                                                                                                          Диапазон напряжения DС: 10-38В
Сечение вводного кабеля: 3х1 мм²      
Габаритные размеры без консоли (ДхШхВ): 456х81х73 мм.
Масса: 3,5 кг"</f>
        <v>Потребление: от сети - 50 Вт., светодиодов - 48 Вт.
Световой поток: 7896 Лм. (5000К)
Световой поток с учетом потерь на оптике: 7185 Лм. (5000К)
Количество светодиодов: 84 шт.                                                                                                          Диапазон напряжения DС: 10-38В
Сечение вводного кабеля: 3х1 мм²      
Габаритные размеры без консоли (ДхШхВ): 456х81х73 мм.
Масса: 3,5 кг</v>
      </c>
      <c r="D10" s="25">
        <v>6880</v>
      </c>
      <c r="E10" s="58">
        <v>84</v>
      </c>
    </row>
    <row r="11" spans="1:6" s="69" customFormat="1" ht="108" customHeight="1" x14ac:dyDescent="0.35">
      <c r="A11" s="70">
        <v>5</v>
      </c>
      <c r="B11" s="71" t="s">
        <v>136</v>
      </c>
      <c r="C11" s="72" t="str">
        <f>"Потребление: от сети - 60 Вт., светодиодов - 56 Вт.
Световой поток: "&amp;E11*$E$5&amp;" Лм. (5000К)
Световой поток с учетом потерь на оптике: "&amp;ROUND((E11*$E$5)-((E11*$E$5)*$E$3/100),0)&amp;" Лм. (5000К)
Количество светодиодов: "&amp;E11&amp;" шт.                                                                                 Диапазон напряжения DС: 10-38В
Сечение вводного кабеля: 3х1 мм²      
Габаритные размеры без консоли (ДхШхВ): 556х81х73 мм.
Масса: 4 кг."</f>
        <v>Потребление: от сети - 60 Вт., светодиодов - 56 Вт.
Световой поток: 9870 Лм. (5000К)
Световой поток с учетом потерь на оптике: 8982 Лм. (5000К)
Количество светодиодов: 105 шт.                                                                                 Диапазон напряжения DС: 10-38В
Сечение вводного кабеля: 3х1 мм²      
Габаритные размеры без консоли (ДхШхВ): 556х81х73 мм.
Масса: 4 кг.</v>
      </c>
      <c r="D11" s="25">
        <v>8030</v>
      </c>
      <c r="E11" s="58">
        <v>105</v>
      </c>
    </row>
    <row r="12" spans="1:6" s="69" customFormat="1" ht="102.75" customHeight="1" x14ac:dyDescent="0.35">
      <c r="A12" s="70">
        <v>6</v>
      </c>
      <c r="B12" s="71" t="s">
        <v>137</v>
      </c>
      <c r="C12" s="72" t="str">
        <f>"Потребление: от сети - 75 Вт., светодиодов - 70 Вт.
Световой поток: "&amp;E12*$E$5&amp;" Лм. (5000К)
Световой поток с учетом потерь на оптике: "&amp;ROUND((E12*$E$5)-((E12*$E$5)*$E$3/100),0)&amp;" Лм. (5000К)
Количество светодиодов: "&amp;E12&amp;" шт.                                                                 Диапазон напряжения DС: 10-38В
Сечение вводного кабеля: 3х1 мм²      
Габаритные размеры без консоли (ДхШхВ): 656х81х73 мм.
Масса: 4,5 кг"</f>
        <v>Потребление: от сети - 75 Вт., светодиодов - 70 Вт.
Световой поток: 11844 Лм. (5000К)
Световой поток с учетом потерь на оптике: 10778 Лм. (5000К)
Количество светодиодов: 126 шт.                                                                 Диапазон напряжения DС: 10-38В
Сечение вводного кабеля: 3х1 мм²      
Габаритные размеры без консоли (ДхШхВ): 656х81х73 мм.
Масса: 4,5 кг</v>
      </c>
      <c r="D12" s="25">
        <v>10780</v>
      </c>
      <c r="E12" s="58">
        <v>126</v>
      </c>
    </row>
    <row r="13" spans="1:6" s="69" customFormat="1" ht="105" customHeight="1" thickBot="1" x14ac:dyDescent="0.4">
      <c r="A13" s="70">
        <v>7</v>
      </c>
      <c r="B13" s="71" t="s">
        <v>138</v>
      </c>
      <c r="C13" s="72" t="str">
        <f>"Потребление: от сети - 90 Вт., светодиодов - 81 Вт.
Световой поток: "&amp;E13*$E$5&amp;" Лм. (5000К)
Световой поток с учетом потерь на оптике: "&amp;ROUND((E13*$E$5)-((E13*$E$5)*$E$3/100),0)&amp;" Лм. (5000К)
Количество светодиодов: "&amp;E13&amp;" шт.                                                                                   Диапазон напряжения DС: 10-38В
Сечение вводного кабеля: 3х2,5 мм²      
Габаритные размеры без консоли (ДхШхВ): 756х81х73 мм.
Масса: 5 кг"</f>
        <v>Потребление: от сети - 90 Вт., светодиодов - 81 Вт.
Световой поток: 13818 Лм. (5000К)
Световой поток с учетом потерь на оптике: 12574 Лм. (5000К)
Количество светодиодов: 147 шт.                                                                                   Диапазон напряжения DС: 10-38В
Сечение вводного кабеля: 3х2,5 мм²      
Габаритные размеры без консоли (ДхШхВ): 756х81х73 мм.
Масса: 5 кг</v>
      </c>
      <c r="D13" s="25">
        <v>11230</v>
      </c>
      <c r="E13" s="58">
        <v>147</v>
      </c>
    </row>
    <row r="14" spans="1:6" s="69" customFormat="1" ht="104.25" customHeight="1" x14ac:dyDescent="0.35">
      <c r="A14" s="66">
        <v>8</v>
      </c>
      <c r="B14" s="71" t="s">
        <v>139</v>
      </c>
      <c r="C14" s="72" t="str">
        <f>"Потребление: от сети - 100 Вт., светодиодов - 93 Вт.
Световой поток: "&amp;E14*$E$5&amp;" Лм. (5000К)
Световой поток с учетом потерь на оптике: "&amp;ROUND((E14*$E$5)-((E14*$E$5)*$E$3/100),0)&amp;" Лм. (5000К)
Количество светодиодов: "&amp;E14&amp;" шт.                                                       Диапазон напряжения DС: 10-38В
Сечение вводного кабеля: 3х2,5 мм²      
Габаритные размеры без консоли (ДхШхВ): 856х81х73 мм.
Масса: 6 кг"</f>
        <v>Потребление: от сети - 100 Вт., светодиодов - 93 Вт.
Световой поток: 15792 Лм. (5000К)
Световой поток с учетом потерь на оптике: 14371 Лм. (5000К)
Количество светодиодов: 168 шт.                                                       Диапазон напряжения DС: 10-38В
Сечение вводного кабеля: 3х2,5 мм²      
Габаритные размеры без консоли (ДхШхВ): 856х81х73 мм.
Масса: 6 кг</v>
      </c>
      <c r="D14" s="25">
        <v>12380</v>
      </c>
      <c r="E14" s="58">
        <v>168</v>
      </c>
    </row>
    <row r="15" spans="1:6" s="69" customFormat="1" ht="108" customHeight="1" thickBot="1" x14ac:dyDescent="0.4">
      <c r="A15" s="70">
        <v>9</v>
      </c>
      <c r="B15" s="73" t="s">
        <v>140</v>
      </c>
      <c r="C15" s="74" t="str">
        <f>"Потребление: от сети - 120 Вт., светодиодов - 116 Вт.
Световой поток: "&amp;E15*$E$5&amp;" Лм. (5000К)
Световой поток с учетом потерь на оптике: "&amp;ROUND((E15*$E$5)-((E15*$E$5)*$E$3/100),0)&amp;" Лм. (5000К)
Количество светодиодов: "&amp;E15&amp;" шт.                                                                            Диапазон напряжения DС: 10-38В
Сечение вводного кабеля: 3х2,5 мм²      
Габаритные размеры без консоли (ДхШхВ): 1056х81х73 мм.
Масса: 7 кг"</f>
        <v>Потребление: от сети - 120 Вт., светодиодов - 116 Вт.
Световой поток: 17766 Лм. (5000К)
Световой поток с учетом потерь на оптике: 16167 Лм. (5000К)
Количество светодиодов: 189 шт.                                                                            Диапазон напряжения DС: 10-38В
Сечение вводного кабеля: 3х2,5 мм²      
Габаритные размеры без консоли (ДхШхВ): 1056х81х73 мм.
Масса: 7 кг</v>
      </c>
      <c r="D15" s="25">
        <v>15120</v>
      </c>
      <c r="E15" s="58">
        <v>189</v>
      </c>
    </row>
    <row r="16" spans="1:6" s="7" customFormat="1" ht="15" thickBot="1" x14ac:dyDescent="0.4">
      <c r="A16" s="121" t="s">
        <v>260</v>
      </c>
      <c r="B16" s="122"/>
      <c r="C16" s="122"/>
      <c r="D16" s="122"/>
      <c r="E16" s="53" t="s">
        <v>45</v>
      </c>
    </row>
    <row r="17" spans="1:5" s="7" customFormat="1" ht="107.25" customHeight="1" thickBot="1" x14ac:dyDescent="0.4">
      <c r="A17" s="114"/>
      <c r="B17" s="115"/>
      <c r="C17" s="115"/>
      <c r="D17" s="115"/>
      <c r="E17" s="54">
        <v>5.4</v>
      </c>
    </row>
    <row r="18" spans="1:5" s="7" customFormat="1" ht="15" thickBot="1" x14ac:dyDescent="0.4">
      <c r="A18" s="116" t="s">
        <v>13</v>
      </c>
      <c r="B18" s="117"/>
      <c r="C18" s="117"/>
      <c r="D18" s="117"/>
      <c r="E18" s="55" t="s">
        <v>46</v>
      </c>
    </row>
    <row r="19" spans="1:5" s="7" customFormat="1" ht="44.25" customHeight="1" thickBot="1" x14ac:dyDescent="0.4">
      <c r="A19" s="118" t="s">
        <v>60</v>
      </c>
      <c r="B19" s="119"/>
      <c r="C19" s="120"/>
      <c r="D19" s="120"/>
      <c r="E19" s="56">
        <v>94</v>
      </c>
    </row>
    <row r="20" spans="1:5" s="7" customFormat="1" ht="40.5" customHeight="1" thickBot="1" x14ac:dyDescent="0.4">
      <c r="A20" s="34" t="s">
        <v>11</v>
      </c>
      <c r="B20" s="35" t="s">
        <v>15</v>
      </c>
      <c r="C20" s="35" t="s">
        <v>12</v>
      </c>
      <c r="D20" s="36" t="s">
        <v>37</v>
      </c>
      <c r="E20" s="57" t="s">
        <v>47</v>
      </c>
    </row>
    <row r="21" spans="1:5" s="7" customFormat="1" ht="85.5" customHeight="1" x14ac:dyDescent="0.35">
      <c r="A21" s="27">
        <v>1</v>
      </c>
      <c r="B21" s="32" t="s">
        <v>261</v>
      </c>
      <c r="C21" s="29" t="str">
        <f>"Потребление: от сети - 12 Вт.
Световой поток: "&amp;E21*$E$19&amp;" Лм. (5000К)
Световой поток с учетом потерь на оптике: "&amp;ROUND((E21*$E$19)-((E21*$E$19)*$E$17/100),0)&amp;" Лм. (5000К)
Количество светодиодов: "&amp;E21&amp;" шт.                                                                                              
Габаритные размеры (ДхШхВ): 240х66х70 мм.
Масса: 0,5 кг"</f>
        <v>Потребление: от сети - 12 Вт.
Световой поток: 1880 Лм. (5000К)
Световой поток с учетом потерь на оптике: 1778 Лм. (5000К)
Количество светодиодов: 20 шт.                                                                                              
Габаритные размеры (ДхШхВ): 240х66х70 мм.
Масса: 0,5 кг</v>
      </c>
      <c r="D21" s="25">
        <v>3550</v>
      </c>
      <c r="E21" s="58">
        <v>20</v>
      </c>
    </row>
    <row r="22" spans="1:5" s="7" customFormat="1" ht="89.25" customHeight="1" x14ac:dyDescent="0.35">
      <c r="A22" s="13">
        <v>2</v>
      </c>
      <c r="B22" s="16" t="s">
        <v>262</v>
      </c>
      <c r="C22" s="15" t="str">
        <f>"Потребление: от сети - 12 Вт.
Световой поток: "&amp;E22*$E$19&amp;" Лм. (5000К)
Световой поток с учетом потерь на оптике: "&amp;ROUND((E22*$E$19)-((E22*$E$19)*$E$17/100),0)&amp;" Лм. (5000К)
Количество светодиодов: "&amp;E22&amp;" шт.                                                                                                       
Габаритные размеры (ДхШхВ): 240х66х70 мм.
Масса: 0,5 кг"</f>
        <v>Потребление: от сети - 12 Вт.
Световой поток: 1880 Лм. (5000К)
Световой поток с учетом потерь на оптике: 1778 Лм. (5000К)
Количество светодиодов: 20 шт.                                                                                                       
Габаритные размеры (ДхШхВ): 240х66х70 мм.
Масса: 0,5 кг</v>
      </c>
      <c r="D22" s="25">
        <v>3750</v>
      </c>
      <c r="E22" s="58">
        <v>20</v>
      </c>
    </row>
    <row r="23" spans="1:5" s="7" customFormat="1" ht="89.25" customHeight="1" x14ac:dyDescent="0.35">
      <c r="A23" s="13">
        <v>3</v>
      </c>
      <c r="B23" s="16" t="s">
        <v>263</v>
      </c>
      <c r="C23" s="15" t="str">
        <f>"Потребление: от сети - 25 Вт.
Световой поток: "&amp;E23*$E$19&amp;" Лм. (5000К)
Световой поток с учетом потерь на оптике: "&amp;ROUND((E23*$E$19)-((E23*$E$19)*$E$17/100),0)&amp;" Лм. (5000К)
Количество светодиодов: "&amp;E23&amp;" шт.                                                                                                   
Габаритные размеры (ДхШхВ): 440х66х70 мм.
Масса: 1 кг"</f>
        <v>Потребление: от сети - 25 Вт.
Световой поток: 3760 Лм. (5000К)
Световой поток с учетом потерь на оптике: 3557 Лм. (5000К)
Количество светодиодов: 40 шт.                                                                                                   
Габаритные размеры (ДхШхВ): 440х66х70 мм.
Масса: 1 кг</v>
      </c>
      <c r="D23" s="25">
        <v>5840</v>
      </c>
      <c r="E23" s="58">
        <v>40</v>
      </c>
    </row>
    <row r="24" spans="1:5" s="7" customFormat="1" ht="95.25" customHeight="1" x14ac:dyDescent="0.35">
      <c r="A24" s="13">
        <v>4</v>
      </c>
      <c r="B24" s="16" t="s">
        <v>264</v>
      </c>
      <c r="C24" s="15" t="str">
        <f>"Потребление: от сети - 25 Вт.
Световой поток: "&amp;E24*$E$19&amp;" Лм. (5000К)
Световой поток с учетом потерь на оптике: "&amp;ROUND((E24*$E$19)-((E24*$E$19)*$E$17/100),0)&amp;" Лм. (5000К)
Количество светодиодов: "&amp;E24&amp;" шт.                                                                                                       
Габаритные размеры (ДхШхВ): 440х66х70 мм.
Масса: 1 кг"</f>
        <v>Потребление: от сети - 25 Вт.
Световой поток: 3760 Лм. (5000К)
Световой поток с учетом потерь на оптике: 3557 Лм. (5000К)
Количество светодиодов: 40 шт.                                                                                                       
Габаритные размеры (ДхШхВ): 440х66х70 мм.
Масса: 1 кг</v>
      </c>
      <c r="D24" s="25">
        <v>5200</v>
      </c>
      <c r="E24" s="58">
        <v>40</v>
      </c>
    </row>
    <row r="25" spans="1:5" s="7" customFormat="1" ht="89.25" customHeight="1" x14ac:dyDescent="0.35">
      <c r="A25" s="13">
        <v>5</v>
      </c>
      <c r="B25" s="16" t="s">
        <v>265</v>
      </c>
      <c r="C25" s="15" t="str">
        <f>"Потребление: от сети - 35 Вт.
Световой поток: "&amp;E25*$E$19&amp;" Лм. (5000К)
Световой поток с учетом потерь на оптике: "&amp;ROUND((E25*$E$19)-((E25*$E$19)*$E$17/100),0)&amp;" Лм. (5000К)
Количество светодиодов: "&amp;E25&amp;" шт.                                                                                                         
Габаритные размеры (ДхШхВ): 640х66х70 мм.
Масса: 1,2 кг"</f>
        <v>Потребление: от сети - 35 Вт.
Световой поток: 5640 Лм. (5000К)
Световой поток с учетом потерь на оптике: 5335 Лм. (5000К)
Количество светодиодов: 60 шт.                                                                                                         
Габаритные размеры (ДхШхВ): 640х66х70 мм.
Масса: 1,2 кг</v>
      </c>
      <c r="D25" s="25">
        <v>8760</v>
      </c>
      <c r="E25" s="58">
        <v>60</v>
      </c>
    </row>
    <row r="26" spans="1:5" s="7" customFormat="1" ht="94.5" customHeight="1" thickBot="1" x14ac:dyDescent="0.4">
      <c r="A26" s="17">
        <v>6</v>
      </c>
      <c r="B26" s="20" t="s">
        <v>266</v>
      </c>
      <c r="C26" s="19" t="str">
        <f>"Потребление: от сети - 35 Вт.
Световой поток: "&amp;E26*$E$19&amp;" Лм. (5000К)
Световой поток с учетом потерь на оптике: "&amp;ROUND((E26*$E$19)-((E26*$E$19)*$E$17/100),0)&amp;" Лм. (5000К)
Количество светодиодов: "&amp;E26&amp;" шт.                                                                                                    
Габаритные размеры (ДхШхВ): 640х66х70 мм.
Масса: 1,2 кг"</f>
        <v>Потребление: от сети - 35 Вт.
Световой поток: 5640 Лм. (5000К)
Световой поток с учетом потерь на оптике: 5335 Лм. (5000К)
Количество светодиодов: 60 шт.                                                                                                    
Габаритные размеры (ДхШхВ): 640х66х70 мм.
Масса: 1,2 кг</v>
      </c>
      <c r="D26" s="25">
        <v>8330</v>
      </c>
      <c r="E26" s="62">
        <v>60</v>
      </c>
    </row>
    <row r="27" spans="1:5" ht="12" customHeight="1" thickBot="1" x14ac:dyDescent="0.4"/>
    <row r="28" spans="1:5" ht="15" thickBot="1" x14ac:dyDescent="0.4">
      <c r="A28" s="104" t="s">
        <v>267</v>
      </c>
      <c r="B28" s="105"/>
      <c r="C28" s="105"/>
      <c r="D28" s="105"/>
      <c r="E28" s="53" t="s">
        <v>45</v>
      </c>
    </row>
    <row r="29" spans="1:5" ht="131.5" customHeight="1" thickBot="1" x14ac:dyDescent="0.4">
      <c r="A29" s="114"/>
      <c r="B29" s="115"/>
      <c r="C29" s="115"/>
      <c r="D29" s="115"/>
      <c r="E29" s="54">
        <v>9</v>
      </c>
    </row>
    <row r="30" spans="1:5" ht="15" thickBot="1" x14ac:dyDescent="0.4">
      <c r="A30" s="116" t="s">
        <v>13</v>
      </c>
      <c r="B30" s="117"/>
      <c r="C30" s="117"/>
      <c r="D30" s="117"/>
      <c r="E30" s="55" t="s">
        <v>46</v>
      </c>
    </row>
    <row r="31" spans="1:5" ht="66" customHeight="1" thickBot="1" x14ac:dyDescent="0.4">
      <c r="A31" s="118" t="s">
        <v>61</v>
      </c>
      <c r="B31" s="119"/>
      <c r="C31" s="120"/>
      <c r="D31" s="120"/>
      <c r="E31" s="56">
        <v>94</v>
      </c>
    </row>
    <row r="32" spans="1:5" ht="29.5" thickBot="1" x14ac:dyDescent="0.4">
      <c r="A32" s="34" t="s">
        <v>11</v>
      </c>
      <c r="B32" s="35" t="s">
        <v>15</v>
      </c>
      <c r="C32" s="35" t="s">
        <v>12</v>
      </c>
      <c r="D32" s="36" t="s">
        <v>37</v>
      </c>
      <c r="E32" s="57" t="s">
        <v>47</v>
      </c>
    </row>
    <row r="33" spans="1:5" ht="104.25" customHeight="1" x14ac:dyDescent="0.35">
      <c r="A33" s="66">
        <v>1</v>
      </c>
      <c r="B33" s="67" t="s">
        <v>268</v>
      </c>
      <c r="C33" s="68" t="str">
        <f>"Потребление: от сети - 15 Вт., светодиодов - 10 Вт.
Световой поток: "&amp;E33*$E$5&amp;" Лм. (5000К)
Световой поток с учетом потерь на оптике: "&amp;ROUND((E33*$E$5)-((E33*$E$5)*$E$3/100),0)&amp;" Лм. (5000К)
Количество светодиодов: "&amp;E33&amp;" шт.                                                                               Диапазон напряжения DС: 10-38В
Сечение вводного кабеля: 3х1 мм²      
Габаритные размеры без консоли (ДхШхВ): 216х81х73 мм.
Масса: 2 кг"</f>
        <v>Потребление: от сети - 15 Вт., светодиодов - 10 Вт.
Световой поток: 1974 Лм. (5000К)
Световой поток с учетом потерь на оптике: 1796 Лм. (5000К)
Количество светодиодов: 21 шт.                                                                               Диапазон напряжения DС: 10-38В
Сечение вводного кабеля: 3х1 мм²      
Габаритные размеры без консоли (ДхШхВ): 216х81х73 мм.
Масса: 2 кг</v>
      </c>
      <c r="D33" s="25">
        <v>3840</v>
      </c>
      <c r="E33" s="58">
        <v>21</v>
      </c>
    </row>
    <row r="34" spans="1:5" ht="105" customHeight="1" x14ac:dyDescent="0.35">
      <c r="A34" s="70">
        <v>2</v>
      </c>
      <c r="B34" s="71" t="s">
        <v>269</v>
      </c>
      <c r="C34" s="72" t="str">
        <f>"Потребление: от сети - 25 Вт., светодиодов - 23 Вт.
Световой поток: "&amp;E34*$E$5&amp;" Лм. (5000К)
Световой поток с учетом потерь на оптике: "&amp;ROUND((E34*$E$5)-((E34*$E$5)*$E$3/100),0)&amp;" Лм. (5000К)
Количество светодиодов: "&amp;E34&amp;" шт.                                                                                Диапазон напряжения DС: 10-38В
Сечение вводного кабеля: 3х1 мм²      
Габаритные размеры без консоли (ДхШхВ): 266х81х73 мм.
Масса: 2,5 кг"</f>
        <v>Потребление: от сети - 25 Вт., светодиодов - 23 Вт.
Световой поток: 3948 Лм. (5000К)
Световой поток с учетом потерь на оптике: 3593 Лм. (5000К)
Количество светодиодов: 42 шт.                                                                                Диапазон напряжения DС: 10-38В
Сечение вводного кабеля: 3х1 мм²      
Габаритные размеры без консоли (ДхШхВ): 266х81х73 мм.
Масса: 2,5 кг</v>
      </c>
      <c r="D34" s="25">
        <v>4980</v>
      </c>
      <c r="E34" s="58">
        <v>42</v>
      </c>
    </row>
    <row r="35" spans="1:5" ht="107.25" customHeight="1" x14ac:dyDescent="0.35">
      <c r="A35" s="70">
        <v>3</v>
      </c>
      <c r="B35" s="71" t="s">
        <v>270</v>
      </c>
      <c r="C35" s="72" t="str">
        <f>"Потребление: от сети - 35 Вт., светодиодов - 32 Вт.
Световой поток: "&amp;E35*$E$5&amp;" Лм. (5000К)
Световой поток с учетом потерь на оптике: "&amp;ROUND((E35*$E$5)-((E35*$E$5)*$E$3/100),0)&amp;" Лм. (5000К)
Количество светодиодов: "&amp;E35&amp;" шт.                                                                                                       Диапазон напряжения DС: 10-38В
Сечение вводного кабеля: 3х1 мм²      
Габаритные размеры без консоли (ДхШхВ): 356х81х73 мм.
Масса: 3 кг"</f>
        <v>Потребление: от сети - 35 Вт., светодиодов - 32 Вт.
Световой поток: 5922 Лм. (5000К)
Световой поток с учетом потерь на оптике: 5389 Лм. (5000К)
Количество светодиодов: 63 шт.                                                                                                       Диапазон напряжения DС: 10-38В
Сечение вводного кабеля: 3х1 мм²      
Габаритные размеры без консоли (ДхШхВ): 356х81х73 мм.
Масса: 3 кг</v>
      </c>
      <c r="D35" s="25">
        <v>6010</v>
      </c>
      <c r="E35" s="58">
        <v>63</v>
      </c>
    </row>
    <row r="36" spans="1:5" ht="103.5" customHeight="1" x14ac:dyDescent="0.35">
      <c r="A36" s="70">
        <v>4</v>
      </c>
      <c r="B36" s="71" t="s">
        <v>271</v>
      </c>
      <c r="C36" s="72" t="str">
        <f>"Потребление: от сети - 50 Вт., светодиодов - 48 Вт.
Световой поток: "&amp;E36*$E$5&amp;" Лм. (5000К)
Световой поток с учетом потерь на оптике: "&amp;ROUND((E36*$E$5)-((E36*$E$5)*$E$3/100),0)&amp;" Лм. (5000К)
Количество светодиодов: "&amp;E36&amp;" шт.                                                                                          Диапазон напряжения DС: 10-38В
Сечение вводного кабеля: 3х1 мм²      
Габаритные размеры без консоли (ДхШхВ): 456х81х73 мм.
Масса: 3,5 кг"</f>
        <v>Потребление: от сети - 50 Вт., светодиодов - 48 Вт.
Световой поток: 7896 Лм. (5000К)
Световой поток с учетом потерь на оптике: 7185 Лм. (5000К)
Количество светодиодов: 84 шт.                                                                                          Диапазон напряжения DС: 10-38В
Сечение вводного кабеля: 3х1 мм²      
Габаритные размеры без консоли (ДхШхВ): 456х81х73 мм.
Масса: 3,5 кг</v>
      </c>
      <c r="D36" s="25">
        <v>7360</v>
      </c>
      <c r="E36" s="58">
        <v>84</v>
      </c>
    </row>
    <row r="37" spans="1:5" ht="115.5" customHeight="1" x14ac:dyDescent="0.35">
      <c r="A37" s="70">
        <v>5</v>
      </c>
      <c r="B37" s="71" t="s">
        <v>272</v>
      </c>
      <c r="C37" s="72" t="str">
        <f>"Потребление: от сети - 60 Вт., светодиодов - 56 Вт.
Световой поток: "&amp;E37*$E$5&amp;" Лм. (5000К)
Световой поток с учетом потерь на оптике: "&amp;ROUND((E37*$E$5)-((E37*$E$5)*$E$3/100),0)&amp;" Лм. (5000К)
Количество светодиодов: "&amp;E37&amp;" шт.                                                                                                    Диапазон напряжения DС: 10-38В
Сечение вводного кабеля: 3х1 мм²      
Габаритные размеры без консоли (ДхШхВ): 556х81х73 мм.
Масса: 4 кг."</f>
        <v>Потребление: от сети - 60 Вт., светодиодов - 56 Вт.
Световой поток: 9870 Лм. (5000К)
Световой поток с учетом потерь на оптике: 8982 Лм. (5000К)
Количество светодиодов: 105 шт.                                                                                                    Диапазон напряжения DС: 10-38В
Сечение вводного кабеля: 3х1 мм²      
Габаритные размеры без консоли (ДхШхВ): 556х81х73 мм.
Масса: 4 кг.</v>
      </c>
      <c r="D37" s="25">
        <v>8500</v>
      </c>
      <c r="E37" s="58">
        <v>105</v>
      </c>
    </row>
    <row r="38" spans="1:5" ht="104.25" customHeight="1" x14ac:dyDescent="0.35">
      <c r="A38" s="70">
        <v>6</v>
      </c>
      <c r="B38" s="71" t="s">
        <v>273</v>
      </c>
      <c r="C38" s="72" t="str">
        <f>"Потребление: от сети - 75 Вт., светодиодов - 70 Вт.
Световой поток: "&amp;E38*$E$5&amp;" Лм. (5000К)
Световой поток с учетом потерь на оптике: "&amp;ROUND((E38*$E$5)-((E38*$E$5)*$E$3/100),0)&amp;" Лм. (5000К)
Количество светодиодов: "&amp;E38&amp;" шт.                                                                                       Диапазон напряжения DС: 10-38В
Сечение вводного кабеля: 3х1 мм²      
Габаритные размеры без консоли (ДхШхВ): 656х81х73 мм.
Масса: 4,5 кг"</f>
        <v>Потребление: от сети - 75 Вт., светодиодов - 70 Вт.
Световой поток: 11844 Лм. (5000К)
Световой поток с учетом потерь на оптике: 10778 Лм. (5000К)
Количество светодиодов: 126 шт.                                                                                       Диапазон напряжения DС: 10-38В
Сечение вводного кабеля: 3х1 мм²      
Габаритные размеры без консоли (ДхШхВ): 656х81х73 мм.
Масса: 4,5 кг</v>
      </c>
      <c r="D38" s="25">
        <v>11290</v>
      </c>
      <c r="E38" s="58">
        <v>126</v>
      </c>
    </row>
    <row r="39" spans="1:5" ht="104.25" customHeight="1" thickBot="1" x14ac:dyDescent="0.4">
      <c r="A39" s="70">
        <v>7</v>
      </c>
      <c r="B39" s="71" t="s">
        <v>274</v>
      </c>
      <c r="C39" s="72" t="str">
        <f>"Потребление: от сети - 90 Вт., светодиодов - 81 Вт.
Световой поток: "&amp;E39*$E$5&amp;" Лм. (5000К)
Световой поток с учетом потерь на оптике: "&amp;ROUND((E39*$E$5)-((E39*$E$5)*$E$3/100),0)&amp;" Лм. (5000К)
Количество светодиодов: "&amp;E39&amp;" шт.                                                                                Диапазон напряжения DС: 10-38В
Сечение вводного кабеля: 3х2,5 мм²      
Габаритные размеры без консоли (ДхШхВ): 756х81х73 мм.
Масса: 5 кг"</f>
        <v>Потребление: от сети - 90 Вт., светодиодов - 81 Вт.
Световой поток: 13818 Лм. (5000К)
Световой поток с учетом потерь на оптике: 12574 Лм. (5000К)
Количество светодиодов: 147 шт.                                                                                Диапазон напряжения DС: 10-38В
Сечение вводного кабеля: 3х2,5 мм²      
Габаритные размеры без консоли (ДхШхВ): 756х81х73 мм.
Масса: 5 кг</v>
      </c>
      <c r="D39" s="25">
        <v>11700</v>
      </c>
      <c r="E39" s="58">
        <v>147</v>
      </c>
    </row>
    <row r="40" spans="1:5" ht="103.5" customHeight="1" x14ac:dyDescent="0.35">
      <c r="A40" s="66">
        <v>8</v>
      </c>
      <c r="B40" s="71" t="s">
        <v>275</v>
      </c>
      <c r="C40" s="72" t="str">
        <f>"Потребление: от сети - 100 Вт., светодиодов - 93 Вт.
Световой поток: "&amp;E40*$E$5&amp;" Лм. (5000К)
Световой поток с учетом потерь на оптике: "&amp;ROUND((E40*$E$5)-((E40*$E$5)*$E$3/100),0)&amp;" Лм. (5000К)
Количество светодиодов: "&amp;E40&amp;" шт.                                                                                                                 Диапазон напряжения DС: 10-38В
Сечение вводного кабеля:3х2,5 мм²      
Габаритные размеры без консоли (ДхШхВ): 856х81х73 мм.
Масса: 6 кг"</f>
        <v>Потребление: от сети - 100 Вт., светодиодов - 93 Вт.
Световой поток: 15792 Лм. (5000К)
Световой поток с учетом потерь на оптике: 14371 Лм. (5000К)
Количество светодиодов: 168 шт.                                                                                                                 Диапазон напряжения DС: 10-38В
Сечение вводного кабеля:3х2,5 мм²      
Габаритные размеры без консоли (ДхШхВ): 856х81х73 мм.
Масса: 6 кг</v>
      </c>
      <c r="D40" s="25">
        <v>12850</v>
      </c>
      <c r="E40" s="58">
        <v>168</v>
      </c>
    </row>
    <row r="41" spans="1:5" ht="106.5" customHeight="1" thickBot="1" x14ac:dyDescent="0.4">
      <c r="A41" s="70">
        <v>9</v>
      </c>
      <c r="B41" s="73" t="s">
        <v>276</v>
      </c>
      <c r="C41" s="74" t="str">
        <f>"Потребление: от сети - 120 Вт., светодиодов - 116 Вт.
Световой поток: "&amp;E41*$E$5&amp;" Лм. (5000К)
Световой поток с учетом потерь на оптике: "&amp;ROUND((E41*$E$5)-((E41*$E$5)*$E$3/100),0)&amp;" Лм. (5000К)
Количество светодиодов: "&amp;E41&amp;" шт.                                                                                                            Диапазон напряжения DС: 10-38В
Сечение вводного кабеля:3х2,5 мм²      
Габаритные размеры без консоли (ДхШхВ): 1056х81х73 мм.
Масса: 7 кг"</f>
        <v>Потребление: от сети - 120 Вт., светодиодов - 116 Вт.
Световой поток: 17766 Лм. (5000К)
Световой поток с учетом потерь на оптике: 16167 Лм. (5000К)
Количество светодиодов: 189 шт.                                                                                                            Диапазон напряжения DС: 10-38В
Сечение вводного кабеля:3х2,5 мм²      
Габаритные размеры без консоли (ДхШхВ): 1056х81х73 мм.
Масса: 7 кг</v>
      </c>
      <c r="D41" s="25">
        <v>15650</v>
      </c>
      <c r="E41" s="79">
        <v>189</v>
      </c>
    </row>
  </sheetData>
  <mergeCells count="13">
    <mergeCell ref="C1:F1"/>
    <mergeCell ref="A28:D28"/>
    <mergeCell ref="A29:D29"/>
    <mergeCell ref="A30:D30"/>
    <mergeCell ref="A31:D31"/>
    <mergeCell ref="A19:D19"/>
    <mergeCell ref="A16:D16"/>
    <mergeCell ref="A17:D17"/>
    <mergeCell ref="A18:D18"/>
    <mergeCell ref="A2:D2"/>
    <mergeCell ref="A3:D3"/>
    <mergeCell ref="A4:D4"/>
    <mergeCell ref="A5:D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9" fitToHeight="0" orientation="portrait" r:id="rId1"/>
  <rowBreaks count="1" manualBreakCount="1">
    <brk id="12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99"/>
  </sheetPr>
  <dimension ref="A1:F21"/>
  <sheetViews>
    <sheetView zoomScale="70" zoomScaleNormal="70" zoomScaleSheetLayoutView="120" workbookViewId="0">
      <selection activeCell="C1" sqref="C1:F1"/>
    </sheetView>
  </sheetViews>
  <sheetFormatPr defaultColWidth="9.1796875" defaultRowHeight="23.5" x14ac:dyDescent="0.35"/>
  <cols>
    <col min="1" max="1" width="5.7265625" style="3" customWidth="1"/>
    <col min="2" max="2" width="18.7265625" style="4" customWidth="1"/>
    <col min="3" max="3" width="72.26953125" style="6" customWidth="1"/>
    <col min="4" max="4" width="20.81640625" style="5" customWidth="1"/>
    <col min="5" max="5" width="17.453125" style="59" hidden="1" customWidth="1"/>
    <col min="6" max="16384" width="9.1796875" style="3"/>
  </cols>
  <sheetData>
    <row r="1" spans="1:6" s="7" customFormat="1" ht="98" customHeight="1" thickBot="1" x14ac:dyDescent="0.4">
      <c r="C1" s="86" t="s">
        <v>296</v>
      </c>
      <c r="D1" s="86"/>
      <c r="E1" s="86"/>
      <c r="F1" s="86"/>
    </row>
    <row r="2" spans="1:6" s="7" customFormat="1" ht="15" thickBot="1" x14ac:dyDescent="0.4">
      <c r="A2" s="104" t="s">
        <v>277</v>
      </c>
      <c r="B2" s="105"/>
      <c r="C2" s="105"/>
      <c r="D2" s="105"/>
      <c r="E2" s="53" t="s">
        <v>45</v>
      </c>
    </row>
    <row r="3" spans="1:6" s="7" customFormat="1" ht="107.25" customHeight="1" thickBot="1" x14ac:dyDescent="0.4">
      <c r="A3" s="114"/>
      <c r="B3" s="115"/>
      <c r="C3" s="115"/>
      <c r="D3" s="115"/>
      <c r="E3" s="54">
        <v>5.4</v>
      </c>
    </row>
    <row r="4" spans="1:6" s="7" customFormat="1" ht="15" thickBot="1" x14ac:dyDescent="0.4">
      <c r="A4" s="116" t="s">
        <v>13</v>
      </c>
      <c r="B4" s="117"/>
      <c r="C4" s="117"/>
      <c r="D4" s="117"/>
      <c r="E4" s="55" t="s">
        <v>46</v>
      </c>
    </row>
    <row r="5" spans="1:6" s="7" customFormat="1" ht="54" customHeight="1" thickBot="1" x14ac:dyDescent="0.4">
      <c r="A5" s="118" t="s">
        <v>56</v>
      </c>
      <c r="B5" s="119"/>
      <c r="C5" s="120"/>
      <c r="D5" s="120"/>
      <c r="E5" s="56">
        <v>94</v>
      </c>
    </row>
    <row r="6" spans="1:6" s="7" customFormat="1" ht="40.5" customHeight="1" thickBot="1" x14ac:dyDescent="0.4">
      <c r="A6" s="8" t="s">
        <v>11</v>
      </c>
      <c r="B6" s="9" t="s">
        <v>15</v>
      </c>
      <c r="C6" s="9" t="s">
        <v>12</v>
      </c>
      <c r="D6" s="36" t="s">
        <v>37</v>
      </c>
      <c r="E6" s="57" t="s">
        <v>47</v>
      </c>
    </row>
    <row r="7" spans="1:6" s="7" customFormat="1" ht="81" customHeight="1" thickBot="1" x14ac:dyDescent="0.4">
      <c r="A7" s="27">
        <v>1</v>
      </c>
      <c r="B7" s="32" t="s">
        <v>278</v>
      </c>
      <c r="C7" s="29" t="str">
        <f>"Потребление: от сети - 50 Вт., светодиодов - 45 Вт.
Световой поток: "&amp;E7*$E$5&amp;" Лм. (5000К)
Световой поток с учетом потерь на оптике: "&amp;ROUND((E7*$E$5)-((E7*$E$5)*$E$3/100),0)&amp;" Лм. (5000К)
Количество светодиодов: "&amp;E7&amp;" шт.
Габаритные размеры (ДхШхВ): 320х200х52 мм.
Масса: 2 кг."</f>
        <v>Потребление: от сети - 50 Вт., светодиодов - 45 Вт.
Световой поток: 7520 Лм. (5000К)
Световой поток с учетом потерь на оптике: 7114 Лм. (5000К)
Количество светодиодов: 80 шт.
Габаритные размеры (ДхШхВ): 320х200х52 мм.
Масса: 2 кг.</v>
      </c>
      <c r="D7" s="30">
        <v>8960</v>
      </c>
      <c r="E7" s="58">
        <v>80</v>
      </c>
    </row>
    <row r="8" spans="1:6" s="7" customFormat="1" ht="81" customHeight="1" thickBot="1" x14ac:dyDescent="0.4">
      <c r="A8" s="13">
        <v>2</v>
      </c>
      <c r="B8" s="16" t="s">
        <v>279</v>
      </c>
      <c r="C8" s="12" t="str">
        <f>"Потребление: от сети - 62 Вт., светодиодов - 57 Вт.
Световой поток: "&amp;E8*$E$5&amp;" Лм. (5000К)
Световой поток с учетом потерь на оптике: "&amp;ROUND((E8*$E$5)-((E8*$E$5)*$E$3/100),0)&amp;" Лм. (5000К)
Количество светодиодов: "&amp;E8&amp;" шт.
Габаритные размеры (ДхШхВ): 320х200х52 мм.
Масса: 3,8 кг."</f>
        <v>Потребление: от сети - 62 Вт., светодиодов - 57 Вт.
Световой поток: 9776 Лм. (5000К)
Световой поток с учетом потерь на оптике: 9248 Лм. (5000К)
Количество светодиодов: 104 шт.
Габаритные размеры (ДхШхВ): 320х200х52 мм.
Масса: 3,8 кг.</v>
      </c>
      <c r="D8" s="30">
        <v>9370</v>
      </c>
      <c r="E8" s="58">
        <v>104</v>
      </c>
    </row>
    <row r="9" spans="1:6" s="7" customFormat="1" ht="81" customHeight="1" thickBot="1" x14ac:dyDescent="0.4">
      <c r="A9" s="13">
        <v>3</v>
      </c>
      <c r="B9" s="16" t="s">
        <v>280</v>
      </c>
      <c r="C9" s="12" t="str">
        <f>"Потребление: от сети - 75 Вт., светодиодов - 70 Вт.
Световой поток: "&amp;E9*$E$5&amp;" Лм. (5000К)
Световой поток с учетом потерь на оптике: "&amp;ROUND((E9*$E$5)-((E9*$E$5)*$E$3/100),0)&amp;" Лм. (5000К)
Количество светодиодов: "&amp;E9&amp;" шт.
Габаритные размеры (ДхШхВ): 420х200х52 мм.
Масса: 5 кг."</f>
        <v>Потребление: от сети - 75 Вт., светодиодов - 70 Вт.
Световой поток: 11280 Лм. (5000К)
Световой поток с учетом потерь на оптике: 10671 Лм. (5000К)
Количество светодиодов: 120 шт.
Габаритные размеры (ДхШхВ): 420х200х52 мм.
Масса: 5 кг.</v>
      </c>
      <c r="D9" s="30">
        <v>11880</v>
      </c>
      <c r="E9" s="58">
        <v>120</v>
      </c>
    </row>
    <row r="10" spans="1:6" s="7" customFormat="1" ht="81" hidden="1" customHeight="1" thickBot="1" x14ac:dyDescent="0.4">
      <c r="A10" s="17">
        <v>4</v>
      </c>
      <c r="B10" s="20" t="s">
        <v>281</v>
      </c>
      <c r="C10" s="33" t="str">
        <f>"Потребление: от сети - 90 Вт., светодиодов - 82 Вт.
Световой поток: "&amp;E10*$E$5&amp;" Лм. (5000К)
Световой поток с учетом потерь на оптике: "&amp;ROUND((E10*$E$5)-((E10*$E$5)*$E$3/100),0)&amp;" Лм. (5000К)
Количество светодиодов: "&amp;E10&amp;" шт.
Габаритные размеры (ДхШхВ): 530х200х52 мм.
Масса: 5,5 кг."</f>
        <v>Потребление: от сети - 90 Вт., светодиодов - 82 Вт.
Световой поток: 14288 Лм. (5000К)
Световой поток с учетом потерь на оптике: 13516 Лм. (5000К)
Количество светодиодов: 152 шт.
Габаритные размеры (ДхШхВ): 530х200х52 мм.
Масса: 5,5 кг.</v>
      </c>
      <c r="D10" s="26">
        <v>11170</v>
      </c>
      <c r="E10" s="58">
        <v>152</v>
      </c>
    </row>
    <row r="11" spans="1:6" s="7" customFormat="1" ht="15.75" customHeight="1" thickBot="1" x14ac:dyDescent="0.4">
      <c r="A11" s="104" t="s">
        <v>282</v>
      </c>
      <c r="B11" s="105"/>
      <c r="C11" s="105"/>
      <c r="D11" s="105"/>
      <c r="E11" s="53" t="s">
        <v>45</v>
      </c>
    </row>
    <row r="12" spans="1:6" s="7" customFormat="1" ht="107.25" customHeight="1" thickBot="1" x14ac:dyDescent="0.4">
      <c r="A12" s="114"/>
      <c r="B12" s="115"/>
      <c r="C12" s="115"/>
      <c r="D12" s="115"/>
      <c r="E12" s="54">
        <v>9</v>
      </c>
    </row>
    <row r="13" spans="1:6" s="7" customFormat="1" ht="15" thickBot="1" x14ac:dyDescent="0.4">
      <c r="A13" s="116" t="s">
        <v>13</v>
      </c>
      <c r="B13" s="117"/>
      <c r="C13" s="117"/>
      <c r="D13" s="117"/>
      <c r="E13" s="55" t="s">
        <v>46</v>
      </c>
    </row>
    <row r="14" spans="1:6" s="7" customFormat="1" ht="54" customHeight="1" thickBot="1" x14ac:dyDescent="0.4">
      <c r="A14" s="118" t="s">
        <v>55</v>
      </c>
      <c r="B14" s="119"/>
      <c r="C14" s="120"/>
      <c r="D14" s="120"/>
      <c r="E14" s="56">
        <v>87</v>
      </c>
    </row>
    <row r="15" spans="1:6" s="7" customFormat="1" ht="40.5" customHeight="1" thickBot="1" x14ac:dyDescent="0.4">
      <c r="A15" s="8" t="s">
        <v>11</v>
      </c>
      <c r="B15" s="9" t="s">
        <v>15</v>
      </c>
      <c r="C15" s="9" t="s">
        <v>12</v>
      </c>
      <c r="D15" s="36" t="s">
        <v>37</v>
      </c>
      <c r="E15" s="58"/>
    </row>
    <row r="16" spans="1:6" s="7" customFormat="1" ht="81" customHeight="1" thickBot="1" x14ac:dyDescent="0.4">
      <c r="A16" s="27">
        <v>1</v>
      </c>
      <c r="B16" s="32" t="s">
        <v>283</v>
      </c>
      <c r="C16" s="29" t="str">
        <f>"Потребление: от сети - 40 Вт., светодиодов - 35 Вт.
Световой поток: "&amp;E16*$E$14&amp;" Лм. (5000К)
Световой поток с учетом потерь на оптике: "&amp;ROUND((E16*$E$14)-((E16*$E$14)*$E$12/100),0)&amp;" Лм. (5000К)
Количество светодиодов: "&amp;E16&amp;" шт.
Габаритные размеры (ДхШхВ): 356х81х73 мм.
Масса: 3 кг."</f>
        <v>Потребление: от сети - 40 Вт., светодиодов - 35 Вт.
Световой поток: 5220 Лм. (5000К)
Световой поток с учетом потерь на оптике: 4750 Лм. (5000К)
Количество светодиодов: 60 шт.
Габаритные размеры (ДхШхВ): 356х81х73 мм.
Масса: 3 кг.</v>
      </c>
      <c r="D16" s="30">
        <v>7100</v>
      </c>
      <c r="E16" s="58">
        <v>60</v>
      </c>
    </row>
    <row r="17" spans="1:5" s="7" customFormat="1" ht="81" customHeight="1" thickBot="1" x14ac:dyDescent="0.4">
      <c r="A17" s="13">
        <v>2</v>
      </c>
      <c r="B17" s="16" t="s">
        <v>284</v>
      </c>
      <c r="C17" s="12" t="str">
        <f>"Потребление: от сети - 52 Вт., светодиодов - 48 Вт.
Световой поток: "&amp;E17*$E$14&amp;" Лм. (5000К)
Световой поток с учетом потерь на оптике: "&amp;ROUND((E17*$E$14)-((E17*$E$14)*$E$12/100),0)&amp;" Лм. (5000К)
Количество светодиодов: "&amp;E17&amp;" шт.
Габаритные размеры (ДхШхВ): 456х81х73 мм.
Масса: 3,5 кг."</f>
        <v>Потребление: от сети - 52 Вт., светодиодов - 48 Вт.
Световой поток: 6960 Лм. (5000К)
Световой поток с учетом потерь на оптике: 6334 Лм. (5000К)
Количество светодиодов: 80 шт.
Габаритные размеры (ДхШхВ): 456х81х73 мм.
Масса: 3,5 кг.</v>
      </c>
      <c r="D17" s="30">
        <v>7920</v>
      </c>
      <c r="E17" s="58">
        <v>80</v>
      </c>
    </row>
    <row r="18" spans="1:5" s="7" customFormat="1" ht="81" customHeight="1" thickBot="1" x14ac:dyDescent="0.4">
      <c r="A18" s="13">
        <v>3</v>
      </c>
      <c r="B18" s="16" t="s">
        <v>285</v>
      </c>
      <c r="C18" s="12" t="str">
        <f>"Потребление: от сети - 60 Вт., светодиодов - 56 Вт.
Световой поток: "&amp;E18*$E$14&amp;" Лм. (5000К)
Световой поток с учетом потерь на оптике: "&amp;ROUND((E18*$E$14)-((E18*$E$14)*$E$12/100),0)&amp;" Лм. (5000К)
Количество светодиодов: "&amp;E18&amp;" шт.
Габаритные размеры (ДхШхВ): 556х81х73 мм.
Масса: 4 кг."</f>
        <v>Потребление: от сети - 60 Вт., светодиодов - 56 Вт.
Световой поток: 8700 Лм. (5000К)
Световой поток с учетом потерь на оптике: 7917 Лм. (5000К)
Количество светодиодов: 100 шт.
Габаритные размеры (ДхШхВ): 556х81х73 мм.
Масса: 4 кг.</v>
      </c>
      <c r="D18" s="30">
        <v>9160</v>
      </c>
      <c r="E18" s="58">
        <v>100</v>
      </c>
    </row>
    <row r="19" spans="1:5" s="7" customFormat="1" ht="81" customHeight="1" thickBot="1" x14ac:dyDescent="0.4">
      <c r="A19" s="13">
        <v>4</v>
      </c>
      <c r="B19" s="16" t="s">
        <v>286</v>
      </c>
      <c r="C19" s="12" t="str">
        <f>"Потребление: от сети - 80 Вт., светодиодов - 70 Вт.
Световой поток: "&amp;E19*$E$14&amp;" Лм. (5000К)
Световой поток с учетом потерь на оптике: "&amp;ROUND((E19*$E$14)-((E19*$E$14)*$E$12/100),0)&amp;" Лм. (5000К)
Количество светодиодов: "&amp;E19&amp;" шт.
Габаритные размеры (ДхШхВ): 356х170х73 мм.
Масса: 6 кг."</f>
        <v>Потребление: от сети - 80 Вт., светодиодов - 70 Вт.
Световой поток: 10440 Лм. (5000К)
Световой поток с учетом потерь на оптике: 9500 Лм. (5000К)
Количество светодиодов: 120 шт.
Габаритные размеры (ДхШхВ): 356х170х73 мм.
Масса: 6 кг.</v>
      </c>
      <c r="D19" s="30">
        <v>13330</v>
      </c>
      <c r="E19" s="58">
        <v>120</v>
      </c>
    </row>
    <row r="20" spans="1:5" s="7" customFormat="1" ht="81" customHeight="1" thickBot="1" x14ac:dyDescent="0.4">
      <c r="A20" s="13">
        <v>5</v>
      </c>
      <c r="B20" s="16" t="s">
        <v>287</v>
      </c>
      <c r="C20" s="12" t="str">
        <f>"Потребление: от сети - 104 Вт., светодиодов - 96 Вт.
Световой поток: "&amp;E20*$E$14&amp;" Лм. (5000К)
Световой поток с учетом потерь на оптике: "&amp;ROUND((E20*$E$14)-((E20*$E$14)*$E$12/100),0)&amp;" Лм. (5000К)
Количество светодиодов: "&amp;E20&amp;" шт.
Габаритные размеры (ДхШхВ): 456х170х73 мм.
Масса: 7 кг."</f>
        <v>Потребление: от сети - 104 Вт., светодиодов - 96 Вт.
Световой поток: 13920 Лм. (5000К)
Световой поток с учетом потерь на оптике: 12667 Лм. (5000К)
Количество светодиодов: 160 шт.
Габаритные размеры (ДхШхВ): 456х170х73 мм.
Масса: 7 кг.</v>
      </c>
      <c r="D20" s="30">
        <v>14990</v>
      </c>
      <c r="E20" s="58">
        <v>160</v>
      </c>
    </row>
    <row r="21" spans="1:5" s="7" customFormat="1" ht="81" customHeight="1" thickBot="1" x14ac:dyDescent="0.4">
      <c r="A21" s="17">
        <v>6</v>
      </c>
      <c r="B21" s="20" t="s">
        <v>288</v>
      </c>
      <c r="C21" s="33" t="str">
        <f>"Потребление: от сети - 120 Вт., светодиодов - 112 Вт.
Световой поток: "&amp;E21*$E$14&amp;" Лм. (5000К)
Световой поток с учетом потерь на оптике: "&amp;ROUND((E21*$E$14)-((E21*$E$14)*$E$12/100),0)&amp;" Лм. (5000К)
Количество светодиодов: "&amp;E21&amp;" шт.
Габаритные размеры (ДхШхВ): 556х170х73 мм.
Масса: 8 кг."</f>
        <v>Потребление: от сети - 120 Вт., светодиодов - 112 Вт.
Световой поток: 17400 Лм. (5000К)
Световой поток с учетом потерь на оптике: 15834 Лм. (5000К)
Количество светодиодов: 200 шт.
Габаритные размеры (ДхШхВ): 556х170х73 мм.
Масса: 8 кг.</v>
      </c>
      <c r="D21" s="30">
        <v>17490</v>
      </c>
      <c r="E21" s="62">
        <v>200</v>
      </c>
    </row>
  </sheetData>
  <mergeCells count="9">
    <mergeCell ref="C1:F1"/>
    <mergeCell ref="A12:D12"/>
    <mergeCell ref="A13:D13"/>
    <mergeCell ref="A14:D14"/>
    <mergeCell ref="A2:D2"/>
    <mergeCell ref="A3:D3"/>
    <mergeCell ref="A4:D4"/>
    <mergeCell ref="A5:D5"/>
    <mergeCell ref="A11:D1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86" orientation="portrait" r:id="rId1"/>
  <rowBreaks count="1" manualBreakCount="1">
    <brk id="10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FF"/>
  </sheetPr>
  <dimension ref="A1:F21"/>
  <sheetViews>
    <sheetView zoomScale="70" zoomScaleNormal="70" zoomScaleSheetLayoutView="120" workbookViewId="0">
      <selection activeCell="C1" sqref="C1:F1"/>
    </sheetView>
  </sheetViews>
  <sheetFormatPr defaultColWidth="9.1796875" defaultRowHeight="23.5" x14ac:dyDescent="0.35"/>
  <cols>
    <col min="1" max="1" width="5.7265625" style="3" customWidth="1"/>
    <col min="2" max="2" width="18.7265625" style="4" customWidth="1"/>
    <col min="3" max="3" width="72.54296875" style="6" customWidth="1"/>
    <col min="4" max="4" width="19.54296875" style="5" customWidth="1"/>
    <col min="5" max="5" width="18.81640625" style="59" hidden="1" customWidth="1"/>
    <col min="6" max="16384" width="9.1796875" style="3"/>
  </cols>
  <sheetData>
    <row r="1" spans="1:6" s="7" customFormat="1" ht="99" customHeight="1" thickBot="1" x14ac:dyDescent="0.4">
      <c r="C1" s="86" t="s">
        <v>296</v>
      </c>
      <c r="D1" s="86"/>
      <c r="E1" s="86"/>
      <c r="F1" s="86"/>
    </row>
    <row r="2" spans="1:6" s="7" customFormat="1" ht="15" thickBot="1" x14ac:dyDescent="0.4">
      <c r="A2" s="104" t="s">
        <v>10</v>
      </c>
      <c r="B2" s="105"/>
      <c r="C2" s="105"/>
      <c r="D2" s="105"/>
      <c r="E2" s="53" t="s">
        <v>45</v>
      </c>
    </row>
    <row r="3" spans="1:6" s="7" customFormat="1" ht="107.25" customHeight="1" thickBot="1" x14ac:dyDescent="0.4">
      <c r="A3" s="114"/>
      <c r="B3" s="115"/>
      <c r="C3" s="115"/>
      <c r="D3" s="115"/>
      <c r="E3" s="54">
        <v>4</v>
      </c>
    </row>
    <row r="4" spans="1:6" s="7" customFormat="1" ht="15" thickBot="1" x14ac:dyDescent="0.4">
      <c r="A4" s="116" t="s">
        <v>13</v>
      </c>
      <c r="B4" s="117"/>
      <c r="C4" s="117"/>
      <c r="D4" s="117"/>
      <c r="E4" s="55" t="s">
        <v>46</v>
      </c>
    </row>
    <row r="5" spans="1:6" s="7" customFormat="1" ht="54" customHeight="1" thickBot="1" x14ac:dyDescent="0.4">
      <c r="A5" s="118" t="s">
        <v>57</v>
      </c>
      <c r="B5" s="119"/>
      <c r="C5" s="120"/>
      <c r="D5" s="120"/>
      <c r="E5" s="56">
        <v>94</v>
      </c>
    </row>
    <row r="6" spans="1:6" s="7" customFormat="1" ht="40.5" customHeight="1" thickBot="1" x14ac:dyDescent="0.4">
      <c r="A6" s="34" t="s">
        <v>11</v>
      </c>
      <c r="B6" s="35" t="s">
        <v>15</v>
      </c>
      <c r="C6" s="35" t="s">
        <v>12</v>
      </c>
      <c r="D6" s="36" t="s">
        <v>37</v>
      </c>
      <c r="E6" s="57" t="s">
        <v>47</v>
      </c>
    </row>
    <row r="7" spans="1:6" s="7" customFormat="1" ht="81" customHeight="1" thickBot="1" x14ac:dyDescent="0.4">
      <c r="A7" s="27">
        <v>1</v>
      </c>
      <c r="B7" s="32" t="s">
        <v>289</v>
      </c>
      <c r="C7" s="29" t="str">
        <f>"Потребление: от сети - 30 Вт.
Световой поток: "&amp;E7*$E$5&amp;" Лм. (5000К)
Световой поток с учетом потерь на оптике: "&amp;ROUND((E7*$E$5)-((E7*$E$5)*$E$3/100),0)&amp;" Лм. (5000К)
Количество светодиодов: "&amp;E7&amp;" шт.
Габаритные размеры (ДхШхВ):  1280х135х100 мм.
Масса: 2 кг."</f>
        <v>Потребление: от сети - 30 Вт.
Световой поток: 4512 Лм. (5000К)
Световой поток с учетом потерь на оптике: 4332 Лм. (5000К)
Количество светодиодов: 48 шт.
Габаритные размеры (ДхШхВ):  1280х135х100 мм.
Масса: 2 кг.</v>
      </c>
      <c r="D7" s="30">
        <v>3750</v>
      </c>
      <c r="E7" s="58">
        <v>48</v>
      </c>
    </row>
    <row r="8" spans="1:6" s="7" customFormat="1" ht="81" customHeight="1" thickBot="1" x14ac:dyDescent="0.4">
      <c r="A8" s="13">
        <v>2</v>
      </c>
      <c r="B8" s="16" t="s">
        <v>290</v>
      </c>
      <c r="C8" s="15" t="str">
        <f>"Потребление: от сети - 35 Вт.
Световой поток: "&amp;E8*$E$5&amp;" Лм. (5000К)
Световой поток с учетом потерь на оптике: "&amp;ROUND((E8*$E$5)-((E8*$E$5)*$E$3/100),0)&amp;" Лм. (5000К)
Количество светодиодов: "&amp;E8&amp;" шт.
Габаритные размеры (ДхШхВ):  1280х135х100 мм.
Масса: 2 кг."</f>
        <v>Потребление: от сети - 35 Вт.
Световой поток: 5264 Лм. (5000К)
Световой поток с учетом потерь на оптике: 5053 Лм. (5000К)
Количество светодиодов: 56 шт.
Габаритные размеры (ДхШхВ):  1280х135х100 мм.
Масса: 2 кг.</v>
      </c>
      <c r="D8" s="30">
        <v>3850</v>
      </c>
      <c r="E8" s="58">
        <v>56</v>
      </c>
    </row>
    <row r="9" spans="1:6" s="7" customFormat="1" ht="81" customHeight="1" thickBot="1" x14ac:dyDescent="0.4">
      <c r="A9" s="17">
        <v>3</v>
      </c>
      <c r="B9" s="20" t="s">
        <v>291</v>
      </c>
      <c r="C9" s="19" t="str">
        <f>"Потребление: от сети - 40 Вт.
Световой поток: "&amp;E9*$E$5&amp;" Лм. (5000К)
Световой поток с учетом потерь на оптике: "&amp;ROUND((E9*$E$5)-((E9*$E$5)*$E$3/100),0)&amp;" Лм. (5000К)
Количество светодиодов: "&amp;E9&amp;" шт.
Габаритные размеры (ДхШхВ):  1280х135х100 мм.
Масса: 2 кг."</f>
        <v>Потребление: от сети - 40 Вт.
Световой поток: 6016 Лм. (5000К)
Световой поток с учетом потерь на оптике: 5775 Лм. (5000К)
Количество светодиодов: 64 шт.
Габаритные размеры (ДхШхВ):  1280х135х100 мм.
Масса: 2 кг.</v>
      </c>
      <c r="D9" s="30">
        <v>3990</v>
      </c>
      <c r="E9" s="62">
        <v>64</v>
      </c>
    </row>
    <row r="11" spans="1:6" x14ac:dyDescent="0.55000000000000004">
      <c r="B11" s="52" t="s">
        <v>44</v>
      </c>
      <c r="E11" s="3"/>
    </row>
    <row r="12" spans="1:6" x14ac:dyDescent="0.35">
      <c r="E12" s="3"/>
    </row>
    <row r="13" spans="1:6" x14ac:dyDescent="0.35">
      <c r="E13" s="3"/>
    </row>
    <row r="14" spans="1:6" x14ac:dyDescent="0.35">
      <c r="E14" s="3"/>
    </row>
    <row r="15" spans="1:6" x14ac:dyDescent="0.35">
      <c r="E15" s="3"/>
    </row>
    <row r="16" spans="1:6" x14ac:dyDescent="0.35">
      <c r="E16" s="3"/>
    </row>
    <row r="17" spans="5:5" x14ac:dyDescent="0.35">
      <c r="E17" s="3"/>
    </row>
    <row r="18" spans="5:5" x14ac:dyDescent="0.35">
      <c r="E18" s="3"/>
    </row>
    <row r="19" spans="5:5" x14ac:dyDescent="0.35">
      <c r="E19" s="3"/>
    </row>
    <row r="20" spans="5:5" x14ac:dyDescent="0.35">
      <c r="E20" s="3"/>
    </row>
    <row r="21" spans="5:5" x14ac:dyDescent="0.35">
      <c r="E21" s="3"/>
    </row>
  </sheetData>
  <mergeCells count="5">
    <mergeCell ref="A2:D2"/>
    <mergeCell ref="A3:D3"/>
    <mergeCell ref="A4:D4"/>
    <mergeCell ref="A5:D5"/>
    <mergeCell ref="C1:F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86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66"/>
  </sheetPr>
  <dimension ref="A1:H9"/>
  <sheetViews>
    <sheetView zoomScale="70" zoomScaleNormal="70" zoomScaleSheetLayoutView="120" workbookViewId="0">
      <selection activeCell="C1" sqref="C1:F1"/>
    </sheetView>
  </sheetViews>
  <sheetFormatPr defaultColWidth="9.1796875" defaultRowHeight="23.5" x14ac:dyDescent="0.35"/>
  <cols>
    <col min="1" max="1" width="5.7265625" style="3" customWidth="1"/>
    <col min="2" max="2" width="18.7265625" style="4" customWidth="1"/>
    <col min="3" max="3" width="70.1796875" style="6" customWidth="1"/>
    <col min="4" max="4" width="22.54296875" style="5" customWidth="1"/>
    <col min="5" max="16384" width="9.1796875" style="3"/>
  </cols>
  <sheetData>
    <row r="1" spans="1:8" s="7" customFormat="1" ht="98.5" customHeight="1" thickBot="1" x14ac:dyDescent="0.4">
      <c r="C1" s="86" t="s">
        <v>296</v>
      </c>
      <c r="D1" s="86"/>
      <c r="E1" s="86"/>
      <c r="F1" s="86"/>
    </row>
    <row r="2" spans="1:8" s="7" customFormat="1" ht="15" thickBot="1" x14ac:dyDescent="0.4">
      <c r="A2" s="104" t="s">
        <v>292</v>
      </c>
      <c r="B2" s="105"/>
      <c r="C2" s="105"/>
      <c r="D2" s="105"/>
    </row>
    <row r="3" spans="1:8" s="7" customFormat="1" ht="107.25" customHeight="1" thickBot="1" x14ac:dyDescent="0.4">
      <c r="A3" s="114"/>
      <c r="B3" s="115"/>
      <c r="C3" s="115"/>
      <c r="D3" s="115"/>
      <c r="H3" s="21"/>
    </row>
    <row r="4" spans="1:8" s="7" customFormat="1" ht="15" thickBot="1" x14ac:dyDescent="0.4">
      <c r="A4" s="116" t="s">
        <v>13</v>
      </c>
      <c r="B4" s="117"/>
      <c r="C4" s="117"/>
      <c r="D4" s="117"/>
    </row>
    <row r="5" spans="1:8" s="7" customFormat="1" ht="54" customHeight="1" thickBot="1" x14ac:dyDescent="0.4">
      <c r="A5" s="118" t="s">
        <v>42</v>
      </c>
      <c r="B5" s="119"/>
      <c r="C5" s="120"/>
      <c r="D5" s="120"/>
    </row>
    <row r="6" spans="1:8" s="7" customFormat="1" ht="40.5" customHeight="1" thickBot="1" x14ac:dyDescent="0.4">
      <c r="A6" s="8" t="s">
        <v>11</v>
      </c>
      <c r="B6" s="9" t="s">
        <v>15</v>
      </c>
      <c r="C6" s="9" t="s">
        <v>12</v>
      </c>
      <c r="D6" s="36" t="s">
        <v>37</v>
      </c>
    </row>
    <row r="7" spans="1:8" s="7" customFormat="1" ht="94.5" customHeight="1" thickBot="1" x14ac:dyDescent="0.4">
      <c r="A7" s="27">
        <v>1</v>
      </c>
      <c r="B7" s="32" t="s">
        <v>293</v>
      </c>
      <c r="C7" s="29" t="s">
        <v>22</v>
      </c>
      <c r="D7" s="30">
        <v>5930</v>
      </c>
    </row>
    <row r="8" spans="1:8" s="7" customFormat="1" ht="94.5" customHeight="1" thickBot="1" x14ac:dyDescent="0.4">
      <c r="A8" s="13">
        <v>2</v>
      </c>
      <c r="B8" s="16" t="s">
        <v>294</v>
      </c>
      <c r="C8" s="12" t="s">
        <v>21</v>
      </c>
      <c r="D8" s="30">
        <v>8130</v>
      </c>
    </row>
    <row r="9" spans="1:8" s="7" customFormat="1" ht="94.5" customHeight="1" thickBot="1" x14ac:dyDescent="0.4">
      <c r="A9" s="17">
        <v>3</v>
      </c>
      <c r="B9" s="20" t="s">
        <v>295</v>
      </c>
      <c r="C9" s="33" t="s">
        <v>20</v>
      </c>
      <c r="D9" s="30">
        <v>11670</v>
      </c>
    </row>
  </sheetData>
  <mergeCells count="5">
    <mergeCell ref="A2:D2"/>
    <mergeCell ref="A3:D3"/>
    <mergeCell ref="A4:D4"/>
    <mergeCell ref="A5:D5"/>
    <mergeCell ref="C1:F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8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00"/>
  </sheetPr>
  <dimension ref="A1:L13"/>
  <sheetViews>
    <sheetView zoomScale="70" zoomScaleNormal="70" workbookViewId="0">
      <selection activeCell="C1" sqref="C1:F1"/>
    </sheetView>
  </sheetViews>
  <sheetFormatPr defaultColWidth="9.1796875" defaultRowHeight="14.5" x14ac:dyDescent="0.35"/>
  <cols>
    <col min="1" max="1" width="7.7265625" style="1" customWidth="1"/>
    <col min="2" max="2" width="17.81640625" style="1" customWidth="1"/>
    <col min="3" max="3" width="36" style="1" customWidth="1"/>
    <col min="4" max="4" width="45.90625" style="1" customWidth="1"/>
    <col min="5" max="5" width="6.26953125" style="1" customWidth="1"/>
    <col min="6" max="6" width="6.36328125" style="1" customWidth="1"/>
    <col min="7" max="16384" width="9.1796875" style="1"/>
  </cols>
  <sheetData>
    <row r="1" spans="1:12" s="7" customFormat="1" ht="104.5" customHeight="1" thickBot="1" x14ac:dyDescent="0.4">
      <c r="C1" s="86" t="s">
        <v>296</v>
      </c>
      <c r="D1" s="86"/>
      <c r="E1" s="86"/>
      <c r="F1" s="86"/>
    </row>
    <row r="2" spans="1:12" s="7" customFormat="1" ht="15" thickBot="1" x14ac:dyDescent="0.4">
      <c r="A2" s="104" t="s">
        <v>23</v>
      </c>
      <c r="B2" s="105"/>
      <c r="C2" s="105"/>
      <c r="D2" s="105"/>
      <c r="E2" s="105"/>
      <c r="F2" s="106"/>
    </row>
    <row r="3" spans="1:12" s="7" customFormat="1" ht="40.5" customHeight="1" thickBot="1" x14ac:dyDescent="0.4">
      <c r="A3" s="46" t="s">
        <v>11</v>
      </c>
      <c r="B3" s="110" t="s">
        <v>15</v>
      </c>
      <c r="C3" s="111"/>
      <c r="D3" s="45" t="s">
        <v>38</v>
      </c>
      <c r="E3" s="112" t="s">
        <v>37</v>
      </c>
      <c r="F3" s="113"/>
      <c r="L3" s="21"/>
    </row>
    <row r="4" spans="1:12" s="2" customFormat="1" ht="106.5" customHeight="1" x14ac:dyDescent="0.35">
      <c r="A4" s="37">
        <v>1</v>
      </c>
      <c r="B4" s="107" t="s">
        <v>0</v>
      </c>
      <c r="C4" s="107"/>
      <c r="D4" s="38"/>
      <c r="E4" s="108">
        <v>200</v>
      </c>
      <c r="F4" s="109"/>
    </row>
    <row r="5" spans="1:12" s="2" customFormat="1" ht="106.5" customHeight="1" x14ac:dyDescent="0.35">
      <c r="A5" s="39">
        <v>2</v>
      </c>
      <c r="B5" s="103" t="s">
        <v>62</v>
      </c>
      <c r="C5" s="103"/>
      <c r="D5" s="40"/>
      <c r="E5" s="100">
        <v>120</v>
      </c>
      <c r="F5" s="101"/>
    </row>
    <row r="6" spans="1:12" s="2" customFormat="1" ht="106.5" customHeight="1" x14ac:dyDescent="0.35">
      <c r="A6" s="39">
        <v>3</v>
      </c>
      <c r="B6" s="103" t="s">
        <v>1</v>
      </c>
      <c r="C6" s="103"/>
      <c r="D6" s="40"/>
      <c r="E6" s="100">
        <v>400</v>
      </c>
      <c r="F6" s="101"/>
    </row>
    <row r="7" spans="1:12" s="2" customFormat="1" ht="106.5" customHeight="1" x14ac:dyDescent="0.35">
      <c r="A7" s="39">
        <v>4</v>
      </c>
      <c r="B7" s="103" t="s">
        <v>2</v>
      </c>
      <c r="C7" s="103"/>
      <c r="D7" s="40"/>
      <c r="E7" s="100">
        <v>220</v>
      </c>
      <c r="F7" s="101"/>
    </row>
    <row r="8" spans="1:12" s="2" customFormat="1" ht="106.5" customHeight="1" x14ac:dyDescent="0.35">
      <c r="A8" s="39">
        <v>5</v>
      </c>
      <c r="B8" s="103" t="s">
        <v>3</v>
      </c>
      <c r="C8" s="103"/>
      <c r="D8" s="40"/>
      <c r="E8" s="100">
        <v>120</v>
      </c>
      <c r="F8" s="101"/>
    </row>
    <row r="9" spans="1:12" s="2" customFormat="1" ht="106.5" customHeight="1" x14ac:dyDescent="0.35">
      <c r="A9" s="39">
        <v>6</v>
      </c>
      <c r="B9" s="103" t="s">
        <v>4</v>
      </c>
      <c r="C9" s="103"/>
      <c r="D9" s="40"/>
      <c r="E9" s="100">
        <v>120</v>
      </c>
      <c r="F9" s="101"/>
    </row>
    <row r="10" spans="1:12" s="2" customFormat="1" ht="106.5" customHeight="1" x14ac:dyDescent="0.35">
      <c r="A10" s="39">
        <v>7</v>
      </c>
      <c r="B10" s="103" t="s">
        <v>5</v>
      </c>
      <c r="C10" s="103"/>
      <c r="D10" s="40"/>
      <c r="E10" s="100">
        <v>120</v>
      </c>
      <c r="F10" s="101"/>
    </row>
    <row r="11" spans="1:12" s="2" customFormat="1" ht="106.5" customHeight="1" thickBot="1" x14ac:dyDescent="0.4">
      <c r="A11" s="39">
        <v>8</v>
      </c>
      <c r="B11" s="103" t="s">
        <v>6</v>
      </c>
      <c r="C11" s="103"/>
      <c r="D11" s="40"/>
      <c r="E11" s="98">
        <v>600</v>
      </c>
      <c r="F11" s="99"/>
    </row>
    <row r="12" spans="1:12" s="2" customFormat="1" ht="106.5" customHeight="1" thickBot="1" x14ac:dyDescent="0.4">
      <c r="A12" s="39">
        <v>9</v>
      </c>
      <c r="B12" s="103" t="s">
        <v>7</v>
      </c>
      <c r="C12" s="103"/>
      <c r="D12" s="40"/>
      <c r="E12" s="98">
        <v>600</v>
      </c>
      <c r="F12" s="99"/>
    </row>
    <row r="13" spans="1:12" s="2" customFormat="1" ht="135.5" customHeight="1" thickBot="1" x14ac:dyDescent="0.4">
      <c r="A13" s="41">
        <v>10</v>
      </c>
      <c r="B13" s="102" t="s">
        <v>8</v>
      </c>
      <c r="C13" s="102"/>
      <c r="D13" s="42"/>
      <c r="E13" s="98">
        <v>600</v>
      </c>
      <c r="F13" s="99"/>
    </row>
  </sheetData>
  <mergeCells count="24">
    <mergeCell ref="E6:F6"/>
    <mergeCell ref="E7:F7"/>
    <mergeCell ref="C1:F1"/>
    <mergeCell ref="A2:F2"/>
    <mergeCell ref="B4:C4"/>
    <mergeCell ref="E4:F4"/>
    <mergeCell ref="E5:F5"/>
    <mergeCell ref="B3:C3"/>
    <mergeCell ref="E3:F3"/>
    <mergeCell ref="B13:C13"/>
    <mergeCell ref="B12:C12"/>
    <mergeCell ref="B11:C11"/>
    <mergeCell ref="B6:C6"/>
    <mergeCell ref="B5:C5"/>
    <mergeCell ref="B7:C7"/>
    <mergeCell ref="B8:C8"/>
    <mergeCell ref="B9:C9"/>
    <mergeCell ref="B10:C10"/>
    <mergeCell ref="E13:F13"/>
    <mergeCell ref="E8:F8"/>
    <mergeCell ref="E9:F9"/>
    <mergeCell ref="E10:F10"/>
    <mergeCell ref="E11:F11"/>
    <mergeCell ref="E12:F1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9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F43"/>
  <sheetViews>
    <sheetView zoomScale="70" zoomScaleNormal="70" zoomScaleSheetLayoutView="100" workbookViewId="0">
      <selection activeCell="C1" sqref="C1:F1"/>
    </sheetView>
  </sheetViews>
  <sheetFormatPr defaultColWidth="9.1796875" defaultRowHeight="23.5" x14ac:dyDescent="0.35"/>
  <cols>
    <col min="1" max="1" width="5.7265625" style="3" customWidth="1"/>
    <col min="2" max="2" width="23.54296875" style="4" customWidth="1"/>
    <col min="3" max="3" width="53.7265625" style="6" customWidth="1"/>
    <col min="4" max="4" width="39.36328125" style="5" customWidth="1"/>
    <col min="5" max="5" width="18.81640625" style="59" hidden="1" customWidth="1"/>
    <col min="6" max="16384" width="9.1796875" style="3"/>
  </cols>
  <sheetData>
    <row r="1" spans="1:6" s="7" customFormat="1" ht="98" customHeight="1" thickBot="1" x14ac:dyDescent="0.4">
      <c r="C1" s="86" t="s">
        <v>296</v>
      </c>
      <c r="D1" s="86"/>
      <c r="E1" s="86"/>
      <c r="F1" s="86"/>
    </row>
    <row r="2" spans="1:6" s="7" customFormat="1" ht="15" thickBot="1" x14ac:dyDescent="0.4">
      <c r="A2" s="104" t="s">
        <v>66</v>
      </c>
      <c r="B2" s="105"/>
      <c r="C2" s="105"/>
      <c r="D2" s="105"/>
      <c r="E2" s="53" t="s">
        <v>45</v>
      </c>
    </row>
    <row r="3" spans="1:6" s="7" customFormat="1" ht="107.25" customHeight="1" thickBot="1" x14ac:dyDescent="0.4">
      <c r="A3" s="114"/>
      <c r="B3" s="115"/>
      <c r="C3" s="115"/>
      <c r="D3" s="115"/>
      <c r="E3" s="54">
        <v>9</v>
      </c>
    </row>
    <row r="4" spans="1:6" s="7" customFormat="1" ht="15" thickBot="1" x14ac:dyDescent="0.4">
      <c r="A4" s="116" t="s">
        <v>13</v>
      </c>
      <c r="B4" s="117"/>
      <c r="C4" s="117"/>
      <c r="D4" s="117"/>
      <c r="E4" s="55" t="s">
        <v>46</v>
      </c>
    </row>
    <row r="5" spans="1:6" s="7" customFormat="1" ht="54" customHeight="1" thickBot="1" x14ac:dyDescent="0.4">
      <c r="A5" s="118" t="s">
        <v>49</v>
      </c>
      <c r="B5" s="119"/>
      <c r="C5" s="120"/>
      <c r="D5" s="120"/>
      <c r="E5" s="56">
        <v>94</v>
      </c>
    </row>
    <row r="6" spans="1:6" s="7" customFormat="1" ht="40.5" customHeight="1" thickBot="1" x14ac:dyDescent="0.4">
      <c r="A6" s="34" t="s">
        <v>11</v>
      </c>
      <c r="B6" s="35" t="s">
        <v>15</v>
      </c>
      <c r="C6" s="35" t="s">
        <v>12</v>
      </c>
      <c r="D6" s="36" t="s">
        <v>37</v>
      </c>
      <c r="E6" s="57" t="s">
        <v>47</v>
      </c>
    </row>
    <row r="7" spans="1:6" s="7" customFormat="1" ht="92.25" customHeight="1" thickBot="1" x14ac:dyDescent="0.4">
      <c r="A7" s="27">
        <v>1</v>
      </c>
      <c r="B7" s="28" t="s">
        <v>65</v>
      </c>
      <c r="C7" s="29" t="str">
        <f>"Потребление: от сети - 50 Вт., светодиодов - 44 Вт.
Световой поток: "&amp;E7*$E$5&amp;" Лм. (5000К)
Световой поток с учетом потерь на оптике: "&amp;ROUND((E7*$E$5)-((E7*$E$5)*$E$3/100),0)&amp;" Лм. (5000К)
Количество светодиодов: "&amp;E7&amp;" шт.
Габаритные размеры с выносным драйвером (ДхШхВ): 320х200х52 мм. Масса: 3,7 кг"</f>
        <v>Потребление: от сети - 50 Вт., светодиодов - 44 Вт.
Световой поток: 7520 Лм. (5000К)
Световой поток с учетом потерь на оптике: 6843 Лм. (5000К)
Количество светодиодов: 80 шт.
Габаритные размеры с выносным драйвером (ДхШхВ): 320х200х52 мм. Масса: 3,7 кг</v>
      </c>
      <c r="D7" s="31">
        <v>8110</v>
      </c>
      <c r="E7" s="58">
        <v>80</v>
      </c>
    </row>
    <row r="8" spans="1:6" s="7" customFormat="1" ht="81" customHeight="1" thickBot="1" x14ac:dyDescent="0.4">
      <c r="A8" s="13">
        <v>2</v>
      </c>
      <c r="B8" s="14" t="s">
        <v>67</v>
      </c>
      <c r="C8" s="15" t="str">
        <f>"Потребление: от сети - 60 Вт., светодиодов - 55 Вт.
Световой поток: "&amp;E8*$E$5&amp;" Лм. (5000К)
Световой поток с учетом потерь на оптике: "&amp;ROUND((E8*$E$5)-((E8*$E$5)*$E$3/100),0)&amp;" Лм. (5000К)
Количество светодиодов: "&amp;E8&amp;" шт.
Габаритные размеры с выносным драйвером (ДхШхВ): 320х200х52 мм. Масса: 3,8 кг."</f>
        <v>Потребление: от сети - 60 Вт., светодиодов - 55 Вт.
Световой поток: 9776 Лм. (5000К)
Световой поток с учетом потерь на оптике: 8896 Лм. (5000К)
Количество светодиодов: 104 шт.
Габаритные размеры с выносным драйвером (ДхШхВ): 320х200х52 мм. Масса: 3,8 кг.</v>
      </c>
      <c r="D8" s="31">
        <v>8590</v>
      </c>
      <c r="E8" s="58">
        <v>104</v>
      </c>
    </row>
    <row r="9" spans="1:6" s="69" customFormat="1" ht="89.25" customHeight="1" thickBot="1" x14ac:dyDescent="0.4">
      <c r="A9" s="70">
        <v>3</v>
      </c>
      <c r="B9" s="71" t="s">
        <v>68</v>
      </c>
      <c r="C9" s="72" t="str">
        <f>"Потребление: от сети - 75 Вт., светодиодов - 70 Вт.
Световой поток: "&amp;E9*$E$5&amp;" Лм. (5000К)
Световой поток с учетом потерь на оптике: "&amp;ROUND((E9*$E$5)-((E9*$E$5)*$E$3/100),0)&amp;" Лм. (5000К)
Количество светодиодов: "&amp;E9&amp;" шт.
Габаритные размеры с выносным драйвером (ДхШхВ): 420х200х52 мм. Масса: 5,3 кг."</f>
        <v>Потребление: от сети - 75 Вт., светодиодов - 70 Вт.
Световой поток: 11280 Лм. (5000К)
Световой поток с учетом потерь на оптике: 10265 Лм. (5000К)
Количество светодиодов: 120 шт.
Габаритные размеры с выносным драйвером (ДхШхВ): 420х200х52 мм. Масса: 5,3 кг.</v>
      </c>
      <c r="D9" s="31">
        <v>10940</v>
      </c>
      <c r="E9" s="58">
        <v>120</v>
      </c>
    </row>
    <row r="10" spans="1:6" s="7" customFormat="1" ht="81" customHeight="1" thickBot="1" x14ac:dyDescent="0.4">
      <c r="A10" s="13">
        <v>4</v>
      </c>
      <c r="B10" s="16" t="s">
        <v>69</v>
      </c>
      <c r="C10" s="15" t="str">
        <f>"Потребление: от сети - 90 Вт., светодиодов - 82 Вт.
Световой поток: "&amp;E10*$E$5&amp;" Лм. (5000К)
Световой поток с учетом потерь на оптике: "&amp;ROUND((E10*$E$5)-((E10*$E$5)*$E$3/100),0)&amp;" Лм. (5000К)
Количество светодиодов: "&amp;E10&amp;" шт.
Габаритные размеры с выносным драйвером (ДхШхВ): 620х200х52 мм. Масса: 5,7 кг."</f>
        <v>Потребление: от сети - 90 Вт., светодиодов - 82 Вт.
Световой поток: 14288 Лм. (5000К)
Световой поток с учетом потерь на оптике: 13002 Лм. (5000К)
Количество светодиодов: 152 шт.
Габаритные размеры с выносным драйвером (ДхШхВ): 620х200х52 мм. Масса: 5,7 кг.</v>
      </c>
      <c r="D10" s="31">
        <v>12880</v>
      </c>
      <c r="E10" s="58">
        <v>152</v>
      </c>
    </row>
    <row r="11" spans="1:6" s="7" customFormat="1" ht="81" customHeight="1" thickBot="1" x14ac:dyDescent="0.4">
      <c r="A11" s="13">
        <v>5</v>
      </c>
      <c r="B11" s="14" t="s">
        <v>70</v>
      </c>
      <c r="C11" s="15" t="str">
        <f>"Потребление: от сети - 100 Вт., светодиодов - 93 Вт.
Световой поток: "&amp;E11*$E$5&amp;" Лм. (5000К)
Световой поток с учетом потерь на оптике: "&amp;ROUND((E11*$E$5)-((E11*$E$5)*$E$3/100),0)&amp;" Лм. (5000К)
Количество светодиодов: "&amp;E11&amp;" шт.
Габаритные размеры с выносным драйвером (ДхШхВ): 620х200х52 мм. Масса: 5,7 кг."</f>
        <v>Потребление: от сети - 100 Вт., светодиодов - 93 Вт.
Световой поток: 15040 Лм. (5000К)
Световой поток с учетом потерь на оптике: 13686 Лм. (5000К)
Количество светодиодов: 160 шт.
Габаритные размеры с выносным драйвером (ДхШхВ): 620х200х52 мм. Масса: 5,7 кг.</v>
      </c>
      <c r="D11" s="31">
        <v>13050</v>
      </c>
      <c r="E11" s="58">
        <v>160</v>
      </c>
    </row>
    <row r="12" spans="1:6" s="7" customFormat="1" ht="81" customHeight="1" thickBot="1" x14ac:dyDescent="0.4">
      <c r="A12" s="17">
        <v>6</v>
      </c>
      <c r="B12" s="18" t="s">
        <v>71</v>
      </c>
      <c r="C12" s="19" t="str">
        <f>"Потребление: от сети - 120 Вт., светодиодов - 114 Вт.
Световой поток: "&amp;E12*$E$5&amp;" Лм. (5000К)
Световой поток с учетом потерь на оптике: "&amp;ROUND((E12*$E$5)-((E12*$E$5)*$E$3/100),0)&amp;" Лм. (5000К)
Количество светодиодов: "&amp;E12&amp;" шт.
Габаритные размеры с выносным драйвером (ДхШхВ): 670х200х52 мм. Масса: 6,5 кг."</f>
        <v>Потребление: от сети - 120 Вт., светодиодов - 114 Вт.
Световой поток: 19552 Лм. (5000К)
Световой поток с учетом потерь на оптике: 17792 Лм. (5000К)
Количество светодиодов: 208 шт.
Габаритные размеры с выносным драйвером (ДхШхВ): 670х200х52 мм. Масса: 6,5 кг.</v>
      </c>
      <c r="D12" s="31">
        <v>14990</v>
      </c>
      <c r="E12" s="58">
        <v>208</v>
      </c>
    </row>
    <row r="13" spans="1:6" s="7" customFormat="1" ht="15" thickBot="1" x14ac:dyDescent="0.4">
      <c r="A13" s="121" t="s">
        <v>72</v>
      </c>
      <c r="B13" s="122"/>
      <c r="C13" s="122"/>
      <c r="D13" s="122"/>
      <c r="E13" s="58"/>
    </row>
    <row r="14" spans="1:6" s="7" customFormat="1" ht="107.25" customHeight="1" thickBot="1" x14ac:dyDescent="0.4">
      <c r="A14" s="114"/>
      <c r="B14" s="115"/>
      <c r="C14" s="115"/>
      <c r="D14" s="115"/>
      <c r="E14" s="58"/>
    </row>
    <row r="15" spans="1:6" s="7" customFormat="1" ht="15" thickBot="1" x14ac:dyDescent="0.4">
      <c r="A15" s="116" t="s">
        <v>13</v>
      </c>
      <c r="B15" s="117"/>
      <c r="C15" s="117"/>
      <c r="D15" s="117"/>
      <c r="E15" s="58"/>
    </row>
    <row r="16" spans="1:6" s="7" customFormat="1" ht="54" customHeight="1" thickBot="1" x14ac:dyDescent="0.4">
      <c r="A16" s="118" t="s">
        <v>50</v>
      </c>
      <c r="B16" s="119"/>
      <c r="C16" s="120"/>
      <c r="D16" s="120"/>
      <c r="E16" s="58"/>
    </row>
    <row r="17" spans="1:5" s="7" customFormat="1" ht="40.5" customHeight="1" thickBot="1" x14ac:dyDescent="0.4">
      <c r="A17" s="22" t="s">
        <v>11</v>
      </c>
      <c r="B17" s="23" t="s">
        <v>15</v>
      </c>
      <c r="C17" s="23" t="s">
        <v>12</v>
      </c>
      <c r="D17" s="36" t="s">
        <v>37</v>
      </c>
      <c r="E17" s="58"/>
    </row>
    <row r="18" spans="1:5" s="7" customFormat="1" ht="81" customHeight="1" x14ac:dyDescent="0.35">
      <c r="A18" s="10">
        <v>1</v>
      </c>
      <c r="B18" s="11" t="s">
        <v>73</v>
      </c>
      <c r="C18" s="12" t="str">
        <f>"Потребление: от сети - 15 Вт., светодиодов - 12 Вт.
Световой поток: "&amp;E18*$E$5&amp;" Лм. (5000К)
Световой поток с учетом потерь на оптике: "&amp;ROUND((E18*$E$5)-((E18*$E$5)*$E$3/100),0)&amp;" Лм. (5000К)
Количество светодиодов: "&amp;E18&amp;" шт.
Габаритные размеры без консоли (ДхШхВ):  216х81х73 мм.
Масса: 2 кг."</f>
        <v>Потребление: от сети - 15 Вт., светодиодов - 12 Вт.
Световой поток: 1880 Лм. (5000К)
Световой поток с учетом потерь на оптике: 1711 Лм. (5000К)
Количество светодиодов: 20 шт.
Габаритные размеры без консоли (ДхШхВ):  216х81х73 мм.
Масса: 2 кг.</v>
      </c>
      <c r="D18" s="24">
        <v>2840</v>
      </c>
      <c r="E18" s="58">
        <v>20</v>
      </c>
    </row>
    <row r="19" spans="1:5" s="7" customFormat="1" ht="81" customHeight="1" x14ac:dyDescent="0.35">
      <c r="A19" s="13">
        <v>2</v>
      </c>
      <c r="B19" s="14" t="s">
        <v>74</v>
      </c>
      <c r="C19" s="15" t="str">
        <f>"Потребление: от сети - 25 Вт., светодиодов - 23 Вт.
Световой поток: "&amp;E19*$E$5&amp;" Лм. (5000К)
Световой поток с учетом потерь на оптике: "&amp;ROUND((E19*$E$5)-((E19*$E$5)*$E$3/100),0)&amp;" Лм. (5000К)
Количество светодиодов: "&amp;E19&amp;" шт.
Габаритные размеры без консоли (ДхШхВ): 266х81х73 мм.
Масса: 2,5 кг."</f>
        <v>Потребление: от сети - 25 Вт., светодиодов - 23 Вт.
Световой поток: 3760 Лм. (5000К)
Световой поток с учетом потерь на оптике: 3422 Лм. (5000К)
Количество светодиодов: 40 шт.
Габаритные размеры без консоли (ДхШхВ): 266х81х73 мм.
Масса: 2,5 кг.</v>
      </c>
      <c r="D19" s="24">
        <v>4790</v>
      </c>
      <c r="E19" s="58">
        <v>40</v>
      </c>
    </row>
    <row r="20" spans="1:5" s="7" customFormat="1" ht="81" customHeight="1" x14ac:dyDescent="0.35">
      <c r="A20" s="13">
        <v>3</v>
      </c>
      <c r="B20" s="14" t="s">
        <v>75</v>
      </c>
      <c r="C20" s="15" t="str">
        <f>"Потребление: от сети - 35 Вт., светодиодов - 32 Вт.
Световой поток: "&amp;E20*$E$5&amp;" Лм. (5000К)
Световой поток с учетом потерь на оптике: "&amp;ROUND((E20*$E$5)-((E20*$E$5)*$E$3/100),0)&amp;" Лм. (5000К)
Количество светодиодов: "&amp;E20&amp;" шт.
Габаритные размеры без консоли (ДхШхВ): 356х81х73 мм.
Масса: 3 кг."</f>
        <v>Потребление: от сети - 35 Вт., светодиодов - 32 Вт.
Световой поток: 5640 Лм. (5000К)
Световой поток с учетом потерь на оптике: 5132 Лм. (5000К)
Количество светодиодов: 60 шт.
Габаритные размеры без консоли (ДхШхВ): 356х81х73 мм.
Масса: 3 кг.</v>
      </c>
      <c r="D20" s="24">
        <v>6260</v>
      </c>
      <c r="E20" s="58">
        <v>60</v>
      </c>
    </row>
    <row r="21" spans="1:5" s="7" customFormat="1" ht="81" customHeight="1" x14ac:dyDescent="0.35">
      <c r="A21" s="13">
        <v>4</v>
      </c>
      <c r="B21" s="14" t="s">
        <v>76</v>
      </c>
      <c r="C21" s="15" t="str">
        <f>"Потребление: от сети - 50 Вт., светодиодов - 45 Вт.
Световой поток: "&amp;E21*$E$5&amp;" Лм. (5000К)
Световой поток с учетом потерь на оптике: "&amp;ROUND((E21*$E$5)-((E21*$E$5)*$E$3/100),0)&amp;" Лм. (5000К)
Количество светодиодов: "&amp;E21&amp;" шт.
Габаритные размеры без консоли (ДхШхВ): 456х81х73 мм.
Масса: 3,5 кг."</f>
        <v>Потребление: от сети - 50 Вт., светодиодов - 45 Вт.
Световой поток: 7520 Лм. (5000К)
Световой поток с учетом потерь на оптике: 6843 Лм. (5000К)
Количество светодиодов: 80 шт.
Габаритные размеры без консоли (ДхШхВ): 456х81х73 мм.
Масса: 3,5 кг.</v>
      </c>
      <c r="D21" s="24">
        <v>7140</v>
      </c>
      <c r="E21" s="58">
        <v>80</v>
      </c>
    </row>
    <row r="22" spans="1:5" s="7" customFormat="1" ht="81" customHeight="1" x14ac:dyDescent="0.35">
      <c r="A22" s="13">
        <v>5</v>
      </c>
      <c r="B22" s="14" t="s">
        <v>77</v>
      </c>
      <c r="C22" s="15" t="str">
        <f>"Потребление: от сети - 60 Вт., светодиодов - 56 Вт.
Световой поток: "&amp;E22*$E$5&amp;" Лм. (5000К)
Световой поток с учетом потерь на оптике: "&amp;ROUND((E22*$E$5)-((E22*$E$5)*$E$3/100),0)&amp;" Лм. (5000К)
Количество светодиодов: "&amp;E22&amp;" шт.
Габаритные размеры без консоли (ДхШхВ): 556х81х73 мм.
Масса: 4 кг."</f>
        <v>Потребление: от сети - 60 Вт., светодиодов - 56 Вт.
Световой поток: 9400 Лм. (5000К)
Световой поток с учетом потерь на оптике: 8554 Лм. (5000К)
Количество светодиодов: 100 шт.
Габаритные размеры без консоли (ДхШхВ): 556х81х73 мм.
Масса: 4 кг.</v>
      </c>
      <c r="D22" s="24">
        <v>8340</v>
      </c>
      <c r="E22" s="58">
        <v>100</v>
      </c>
    </row>
    <row r="23" spans="1:5" s="7" customFormat="1" ht="81" customHeight="1" x14ac:dyDescent="0.35">
      <c r="A23" s="13">
        <v>6</v>
      </c>
      <c r="B23" s="14" t="s">
        <v>78</v>
      </c>
      <c r="C23" s="15" t="str">
        <f>"Потребление: от сети - 75 Вт., светодиодов - 68 Вт.
Световой поток: "&amp;E23*$E$5&amp;" Лм. (5000К)
Световой поток с учетом потерь на оптике: "&amp;ROUND((E23*$E$5)-((E23*$E$5)*$E$3/100),0)&amp;" Лм. (5000К)
Количество светодиодов: "&amp;E23&amp;" шт.
Габаритные размеры без консоли (ДхШхВ): 656х81х73 мм.
Масса: 4,5 кг."</f>
        <v>Потребление: от сети - 75 Вт., светодиодов - 68 Вт.
Световой поток: 11280 Лм. (5000К)
Световой поток с учетом потерь на оптике: 10265 Лм. (5000К)
Количество светодиодов: 120 шт.
Габаритные размеры без консоли (ДхШхВ): 656х81х73 мм.
Масса: 4,5 кг.</v>
      </c>
      <c r="D23" s="24">
        <v>10770</v>
      </c>
      <c r="E23" s="60">
        <v>120</v>
      </c>
    </row>
    <row r="24" spans="1:5" s="7" customFormat="1" ht="81" customHeight="1" x14ac:dyDescent="0.35">
      <c r="A24" s="13">
        <v>7</v>
      </c>
      <c r="B24" s="14" t="s">
        <v>79</v>
      </c>
      <c r="C24" s="15" t="str">
        <f>"Потребление: от сети - 90 Вт., светодиодов - 79 Вт.
Световой поток: "&amp;E24*$E$5&amp;" Лм. (5000К)
Световой поток с учетом потерь на оптике: "&amp;ROUND((E24*$E$5)-((E24*$E$5)*$E$3/100),0)&amp;" Лм. (5000К)
Количество светодиодов: "&amp;E24&amp;" шт.
Габаритные размеры без консоли (ДхШхВ): 756х81х73 мм.
Масса: 5 кг."</f>
        <v>Потребление: от сети - 90 Вт., светодиодов - 79 Вт.
Световой поток: 13160 Лм. (5000К)
Световой поток с учетом потерь на оптике: 11976 Лм. (5000К)
Количество светодиодов: 140 шт.
Габаритные размеры без консоли (ДхШхВ): 756х81х73 мм.
Масса: 5 кг.</v>
      </c>
      <c r="D24" s="24">
        <v>11660</v>
      </c>
      <c r="E24" s="60">
        <v>140</v>
      </c>
    </row>
    <row r="25" spans="1:5" s="7" customFormat="1" ht="81" customHeight="1" x14ac:dyDescent="0.35">
      <c r="A25" s="13">
        <v>8</v>
      </c>
      <c r="B25" s="14" t="s">
        <v>80</v>
      </c>
      <c r="C25" s="15" t="str">
        <f>"Потребление: от сети - 100 Вт., светодиодов - 93 Вт.
Световой поток: "&amp;E25*$E$5&amp;" Лм. (5000К)
Световой поток с учетом потерь на оптике: "&amp;ROUND((E25*$E$5)-((E25*$E$5)*$E$3/100),0)&amp;" Лм. (5000К)
Количество светодиодов: "&amp;E25&amp;" шт.
Габаритные размеры без консоли (ДхШхВ): 856х81х73 мм.
Масса: 6 кг."</f>
        <v>Потребление: от сети - 100 Вт., светодиодов - 93 Вт.
Световой поток: 15040 Лм. (5000К)
Световой поток с учетом потерь на оптике: 13686 Лм. (5000К)
Количество светодиодов: 160 шт.
Габаритные размеры без консоли (ДхШхВ): 856х81х73 мм.
Масса: 6 кг.</v>
      </c>
      <c r="D25" s="24">
        <v>12650</v>
      </c>
      <c r="E25" s="60">
        <v>160</v>
      </c>
    </row>
    <row r="26" spans="1:5" s="7" customFormat="1" ht="81" customHeight="1" thickBot="1" x14ac:dyDescent="0.4">
      <c r="A26" s="13">
        <v>9</v>
      </c>
      <c r="B26" s="14" t="s">
        <v>81</v>
      </c>
      <c r="C26" s="15" t="str">
        <f>"Потребление: от сети - 120 Вт., светодиодов - 116 Вт.
Световой поток: "&amp;E26*$E$5&amp;" Лм. (5000К)
Световой поток с учетом потерь на оптике: "&amp;ROUND((E26*$E$5)-((E26*$E$5)*$E$3/100),0)&amp;" Лм. (5000К)
Количество светодиодов: "&amp;E26&amp;" шт.
Габаритные размеры без консоли (ДхШхВ): 1056х81х73 мм.
Масса: 7 кг."</f>
        <v>Потребление: от сети - 120 Вт., светодиодов - 116 Вт.
Световой поток: 18800 Лм. (5000К)
Световой поток с учетом потерь на оптике: 17108 Лм. (5000К)
Количество светодиодов: 200 шт.
Габаритные размеры без консоли (ДхШхВ): 1056х81х73 мм.
Масса: 7 кг.</v>
      </c>
      <c r="D26" s="24">
        <v>13880</v>
      </c>
      <c r="E26" s="60">
        <v>200</v>
      </c>
    </row>
    <row r="27" spans="1:5" s="7" customFormat="1" ht="15" thickBot="1" x14ac:dyDescent="0.4">
      <c r="A27" s="104" t="s">
        <v>82</v>
      </c>
      <c r="B27" s="105"/>
      <c r="C27" s="105"/>
      <c r="D27" s="105"/>
      <c r="E27" s="60"/>
    </row>
    <row r="28" spans="1:5" s="7" customFormat="1" ht="107.25" customHeight="1" thickBot="1" x14ac:dyDescent="0.4">
      <c r="A28" s="114"/>
      <c r="B28" s="115"/>
      <c r="C28" s="115"/>
      <c r="D28" s="115"/>
      <c r="E28" s="60"/>
    </row>
    <row r="29" spans="1:5" s="7" customFormat="1" ht="15" thickBot="1" x14ac:dyDescent="0.4">
      <c r="A29" s="116" t="s">
        <v>13</v>
      </c>
      <c r="B29" s="117"/>
      <c r="C29" s="117"/>
      <c r="D29" s="117"/>
      <c r="E29" s="60"/>
    </row>
    <row r="30" spans="1:5" s="7" customFormat="1" ht="51" customHeight="1" thickBot="1" x14ac:dyDescent="0.4">
      <c r="A30" s="118" t="s">
        <v>50</v>
      </c>
      <c r="B30" s="119"/>
      <c r="C30" s="120"/>
      <c r="D30" s="120"/>
      <c r="E30" s="60"/>
    </row>
    <row r="31" spans="1:5" s="7" customFormat="1" ht="40.5" customHeight="1" thickBot="1" x14ac:dyDescent="0.4">
      <c r="A31" s="22" t="s">
        <v>11</v>
      </c>
      <c r="B31" s="23" t="s">
        <v>15</v>
      </c>
      <c r="C31" s="23" t="s">
        <v>12</v>
      </c>
      <c r="D31" s="36" t="s">
        <v>37</v>
      </c>
      <c r="E31" s="60"/>
    </row>
    <row r="32" spans="1:5" s="69" customFormat="1" ht="93" customHeight="1" thickBot="1" x14ac:dyDescent="0.4">
      <c r="A32" s="75">
        <v>1</v>
      </c>
      <c r="B32" s="67" t="s">
        <v>83</v>
      </c>
      <c r="C32" s="68" t="str">
        <f>"Потребление: от сети - 24 Вт., светодиодов - 22 Вт.
Световой поток: "&amp;E32*$E$5&amp;" Лм. (5000К)
Световой поток с учетом потерь на оптике: "&amp;ROUND((E32*$E$5)-((E32*$E$5)*$E$3/100),0)&amp;" Лм. (5000К)
Количество светодиодов: "&amp;E32&amp;" шт.
Габаритные размеры без консоли (ДхШхВ): 180х175х79 мм.
Масса: 1,4 кг."</f>
        <v>Потребление: от сети - 24 Вт., светодиодов - 22 Вт.
Световой поток: 3760 Лм. (5000К)
Световой поток с учетом потерь на оптике: 3422 Лм. (5000К)
Количество светодиодов: 40 шт.
Габаритные размеры без консоли (ДхШхВ): 180х175х79 мм.
Масса: 1,4 кг.</v>
      </c>
      <c r="D32" s="24">
        <v>6520</v>
      </c>
      <c r="E32" s="60">
        <v>40</v>
      </c>
    </row>
    <row r="33" spans="1:5" s="7" customFormat="1" ht="81" customHeight="1" thickBot="1" x14ac:dyDescent="0.4">
      <c r="A33" s="27">
        <v>2</v>
      </c>
      <c r="B33" s="28" t="s">
        <v>84</v>
      </c>
      <c r="C33" s="29" t="str">
        <f>"Потребление: от сети - 50 Вт., светодиодов - 48 Вт.
Световой поток: "&amp;E33*$E$5&amp;" Лм. (5000К)
Световой поток с учетом потерь на оптике: "&amp;ROUND((E33*$E$5)-((E33*$E$5)*$E$3/100),0)&amp;" Лм. (5000К)
Количество светодиодов: "&amp;E33&amp;" шт.
Габаритные размеры без консоли (ДхШхВ): 330х175х79 мм.
Масса: 2,5 кг."</f>
        <v>Потребление: от сети - 50 Вт., светодиодов - 48 Вт.
Световой поток: 7520 Лм. (5000К)
Световой поток с учетом потерь на оптике: 6843 Лм. (5000К)
Количество светодиодов: 80 шт.
Габаритные размеры без консоли (ДхШхВ): 330х175х79 мм.
Масса: 2,5 кг.</v>
      </c>
      <c r="D33" s="24">
        <v>7300</v>
      </c>
      <c r="E33" s="60">
        <v>80</v>
      </c>
    </row>
    <row r="34" spans="1:5" s="69" customFormat="1" ht="81" customHeight="1" x14ac:dyDescent="0.35">
      <c r="A34" s="66">
        <v>3</v>
      </c>
      <c r="B34" s="67" t="s">
        <v>85</v>
      </c>
      <c r="C34" s="68" t="str">
        <f>"Потребление: от сети - 60 Вт., светодиодов - 55 Вт.
Световой поток: "&amp;E34*$E$5&amp;" Лм. (5000К)
Световой поток с учетом потерь на оптике: "&amp;ROUND((E34*$E$5)-((E34*$E$5)*$E$3/100),0)&amp;" Лм. (5000К)
Количество светодиодов: "&amp;E34&amp;" шт.
Габаритные размеры без консоли (ДхШхВ): 330х175х79 мм.
Масса: 2,5 кг."</f>
        <v>Потребление: от сети - 60 Вт., светодиодов - 55 Вт.
Световой поток: 9776 Лм. (5000К)
Световой поток с учетом потерь на оптике: 8896 Лм. (5000К)
Количество светодиодов: 104 шт.
Габаритные размеры без консоли (ДхШхВ): 330х175х79 мм.
Масса: 2,5 кг.</v>
      </c>
      <c r="D34" s="24">
        <v>8290</v>
      </c>
      <c r="E34" s="60">
        <v>104</v>
      </c>
    </row>
    <row r="35" spans="1:5" s="7" customFormat="1" ht="81" customHeight="1" x14ac:dyDescent="0.35">
      <c r="A35" s="13">
        <v>4</v>
      </c>
      <c r="B35" s="14" t="s">
        <v>86</v>
      </c>
      <c r="C35" s="15" t="str">
        <f>"Потребление: от сети - 75 Вт., светодиодов - 70 Вт.
Световой поток: "&amp;E35*$E$5&amp;" Лм. (5000К)
Световой поток с учетом потерь на оптике: "&amp;ROUND((E35*$E$5)-((E35*$E$5)*$E$3/100),0)&amp;" Лм. (5000К)
Количество светодиодов: "&amp;E35&amp;" шт.
Габаритные размеры без консоли (ДхШхВ): 430х175х79 мм.
Масса: 3 кг."</f>
        <v>Потребление: от сети - 75 Вт., светодиодов - 70 Вт.
Световой поток: 11280 Лм. (5000К)
Световой поток с учетом потерь на оптике: 10265 Лм. (5000К)
Количество светодиодов: 120 шт.
Габаритные размеры без консоли (ДхШхВ): 430х175х79 мм.
Масса: 3 кг.</v>
      </c>
      <c r="D35" s="24">
        <v>11670</v>
      </c>
      <c r="E35" s="60">
        <v>120</v>
      </c>
    </row>
    <row r="36" spans="1:5" s="7" customFormat="1" ht="81" customHeight="1" x14ac:dyDescent="0.35">
      <c r="A36" s="13">
        <v>5</v>
      </c>
      <c r="B36" s="14" t="s">
        <v>87</v>
      </c>
      <c r="C36" s="15" t="str">
        <f>"Потребление: от сети - 90 Вт., светодиодов - 82 Вт.
Световой поток: "&amp;E36*$E$5&amp;" Лм. (5000К)
Световой поток с учетом потерь на оптике: "&amp;ROUND((E36*$E$5)-((E36*$E$5)*$E$3/100),0)&amp;" Лм. (5000К)
Количество светодиодов: "&amp;E36&amp;" шт.
Габаритные размеры без консоли (ДхШхВ): 480х175х79 мм.
Масса: 3,3 кг."</f>
        <v>Потребление: от сети - 90 Вт., светодиодов - 82 Вт.
Световой поток: 14288 Лм. (5000К)
Световой поток с учетом потерь на оптике: 13002 Лм. (5000К)
Количество светодиодов: 152 шт.
Габаритные размеры без консоли (ДхШхВ): 480х175х79 мм.
Масса: 3,3 кг.</v>
      </c>
      <c r="D36" s="24">
        <v>13340</v>
      </c>
      <c r="E36" s="60">
        <v>152</v>
      </c>
    </row>
    <row r="37" spans="1:5" s="7" customFormat="1" ht="81" customHeight="1" x14ac:dyDescent="0.35">
      <c r="A37" s="13">
        <v>6</v>
      </c>
      <c r="B37" s="14" t="s">
        <v>88</v>
      </c>
      <c r="C37" s="15" t="str">
        <f>"Потребление: от сети - 100 Вт., светодиодов - 90 Вт.
Световой поток: "&amp;E37*$E$5&amp;" Лм. (5000К)
Световой поток с учетом потерь на оптике: "&amp;ROUND((E37*$E$5)-((E37*$E$5)*$E$3/100),0)&amp;" Лм. (5000К)
Количество светодиодов: "&amp;E37&amp;" шт.
Габаритные размеры без консоли (ДхШхВ): 530х175х79 мм.
Масса: 3,6 кг."</f>
        <v>Потребление: от сети - 100 Вт., светодиодов - 90 Вт.
Световой поток: 15040 Лм. (5000К)
Световой поток с учетом потерь на оптике: 13686 Лм. (5000К)
Количество светодиодов: 160 шт.
Габаритные размеры без консоли (ДхШхВ): 530х175х79 мм.
Масса: 3,6 кг.</v>
      </c>
      <c r="D37" s="24">
        <v>13750</v>
      </c>
      <c r="E37" s="60">
        <v>160</v>
      </c>
    </row>
    <row r="38" spans="1:5" s="7" customFormat="1" ht="81" customHeight="1" x14ac:dyDescent="0.35">
      <c r="A38" s="13">
        <v>7</v>
      </c>
      <c r="B38" s="14" t="s">
        <v>89</v>
      </c>
      <c r="C38" s="15" t="str">
        <f>"Потребление: от сети - 120 Вт., светодиодов - 112 Вт.
Световой поток: "&amp;E38*$E$5&amp;" Лм. (5000К)
Световой поток с учетом потерь на оптике: "&amp;ROUND((E38*$E$5)-((E38*$E$5)*$E$3/100),0)&amp;" Лм. (5000К)
Количество светодиодов: "&amp;E38&amp;" шт.
Габаритные размеры без консоли (ДхШхВ): 630х175х79 мм.
Масса: 4,6 кг."</f>
        <v>Потребление: от сети - 120 Вт., светодиодов - 112 Вт.
Световой поток: 18800 Лм. (5000К)
Световой поток с учетом потерь на оптике: 17108 Лм. (5000К)
Количество светодиодов: 200 шт.
Габаритные размеры без консоли (ДхШхВ): 630х175х79 мм.
Масса: 4,6 кг.</v>
      </c>
      <c r="D38" s="24">
        <v>16240</v>
      </c>
      <c r="E38" s="60">
        <v>200</v>
      </c>
    </row>
    <row r="39" spans="1:5" s="7" customFormat="1" ht="81" customHeight="1" x14ac:dyDescent="0.35">
      <c r="A39" s="13">
        <v>8</v>
      </c>
      <c r="B39" s="14" t="s">
        <v>90</v>
      </c>
      <c r="C39" s="15" t="str">
        <f>"Потребление: от сети - 146 Вт., светодиодов - 134 Вт.
Световой поток: "&amp;E39*$E$5&amp;" Лм. (5000К)
Световой поток с учетом потерь на оптике: "&amp;ROUND((E39*$E$5)-((E39*$E$5)*$E$3/100),0)&amp;" Лм. (5000К)
Количество светодиодов: "&amp;E39&amp;" шт.
Габаритные размеры без консоли (ДхШхВ): 730х175х79 мм.
Масса: 5,6 кг."</f>
        <v>Потребление: от сети - 146 Вт., светодиодов - 134 Вт.
Световой поток: 22560 Лм. (5000К)
Световой поток с учетом потерь на оптике: 20530 Лм. (5000К)
Количество светодиодов: 240 шт.
Габаритные размеры без консоли (ДхШхВ): 730х175х79 мм.
Масса: 5,6 кг.</v>
      </c>
      <c r="D39" s="24">
        <v>19350</v>
      </c>
      <c r="E39" s="60">
        <v>240</v>
      </c>
    </row>
    <row r="40" spans="1:5" s="7" customFormat="1" ht="81" customHeight="1" x14ac:dyDescent="0.35">
      <c r="A40" s="13">
        <v>9</v>
      </c>
      <c r="B40" s="14" t="s">
        <v>91</v>
      </c>
      <c r="C40" s="15" t="str">
        <f>"Потребление: от сети - 172 Вт., светодиодов - 155 Вт.
Световой поток: "&amp;E40*$E$5&amp;" Лм. (5000К)
Световой поток с учетом потерь на оптике: "&amp;ROUND((E40*$E$5)-((E40*$E$5)*$E$3/100),0)&amp;" Лм. (5000К)
Количество светодиодов: "&amp;E40&amp;" шт.
Габаритные размеры без консоли (ДхШхВ): 830х175х79 мм.
Масса: 6,6 кг."</f>
        <v>Потребление: от сети - 172 Вт., светодиодов - 155 Вт.
Световой поток: 26320 Лм. (5000К)
Световой поток с учетом потерь на оптике: 23951 Лм. (5000К)
Количество светодиодов: 280 шт.
Габаритные размеры без консоли (ДхШхВ): 830х175х79 мм.
Масса: 6,6 кг.</v>
      </c>
      <c r="D40" s="24">
        <v>21240</v>
      </c>
      <c r="E40" s="60">
        <v>280</v>
      </c>
    </row>
    <row r="41" spans="1:5" s="7" customFormat="1" ht="81" customHeight="1" x14ac:dyDescent="0.35">
      <c r="A41" s="13">
        <v>10</v>
      </c>
      <c r="B41" s="14" t="s">
        <v>92</v>
      </c>
      <c r="C41" s="15" t="str">
        <f>"Потребление: от сети - 196 Вт., светодиодов - 179 Вт.
Световой поток: "&amp;E41*$E$5&amp;" Лм. (5000К)
Световой поток с учетом потерь на оптике: "&amp;ROUND((E41*$E$5)-((E41*$E$5)*$E$3/100),0)&amp;" Лм. (5000К)
Количество светодиодов: "&amp;E41&amp;" шт.
Габаритные размеры без консоли (ДхШхВ): 930х175х79 мм.
Масса: 7,6 кг."</f>
        <v>Потребление: от сети - 196 Вт., светодиодов - 179 Вт.
Световой поток: 30080 Лм. (5000К)
Световой поток с учетом потерь на оптике: 27373 Лм. (5000К)
Количество светодиодов: 320 шт.
Габаритные размеры без консоли (ДхШхВ): 930х175х79 мм.
Масса: 7,6 кг.</v>
      </c>
      <c r="D41" s="24">
        <v>24560</v>
      </c>
      <c r="E41" s="60">
        <v>320</v>
      </c>
    </row>
    <row r="42" spans="1:5" s="7" customFormat="1" ht="81" customHeight="1" x14ac:dyDescent="0.35">
      <c r="A42" s="13">
        <v>11</v>
      </c>
      <c r="B42" s="14" t="s">
        <v>93</v>
      </c>
      <c r="C42" s="15" t="str">
        <f>"Потребление: от сети - 220 Вт., светодиодов - 200 Вт.
Световой поток: "&amp;E42*$E$5&amp;" Лм. (5000К)
Световой поток с учетом потерь на оптике: "&amp;ROUND((E42*$E$5)-((E42*$E$5)*$E$3/100),0)&amp;" Лм. (5000К)
Количество светодиодов: "&amp;E42&amp;" шт.
Габаритные размеры без консоли (ДхШхВ): 1030х175х79 мм.
Масса: 8,6 кг."</f>
        <v>Потребление: от сети - 220 Вт., светодиодов - 200 Вт.
Световой поток: 33840 Лм. (5000К)
Световой поток с учетом потерь на оптике: 30794 Лм. (5000К)
Количество светодиодов: 360 шт.
Габаритные размеры без консоли (ДхШхВ): 1030х175х79 мм.
Масса: 8,6 кг.</v>
      </c>
      <c r="D42" s="24">
        <v>26240</v>
      </c>
      <c r="E42" s="60">
        <v>360</v>
      </c>
    </row>
    <row r="43" spans="1:5" ht="78.5" thickBot="1" x14ac:dyDescent="0.4">
      <c r="A43" s="17">
        <v>12</v>
      </c>
      <c r="B43" s="18" t="s">
        <v>94</v>
      </c>
      <c r="C43" s="19" t="str">
        <f>"Потребление: от сети - 245 Вт., светодиодов - 223 Вт.
Световой поток: "&amp;E43*$E$5&amp;" Лм. (5000К)
Световой поток с учетом потерь на оптике: "&amp;ROUND((E43*$E$5)-((E43*$E$5)*$E$3/100),0)&amp;" Лм. (5000К)
Количество светодиодов: "&amp;E43&amp;" шт.
Габаритные размеры без консоли (ДхШхВ): 1130х175х79 мм.
Масса: 10 кг."</f>
        <v>Потребление: от сети - 245 Вт., светодиодов - 223 Вт.
Световой поток: 37600 Лм. (5000К)
Световой поток с учетом потерь на оптике: 34216 Лм. (5000К)
Количество светодиодов: 400 шт.
Габаритные размеры без консоли (ДхШхВ): 1130х175х79 мм.
Масса: 10 кг.</v>
      </c>
      <c r="D43" s="24">
        <v>27900</v>
      </c>
      <c r="E43" s="61">
        <v>400</v>
      </c>
    </row>
  </sheetData>
  <mergeCells count="13">
    <mergeCell ref="A28:D28"/>
    <mergeCell ref="A29:D29"/>
    <mergeCell ref="A30:D30"/>
    <mergeCell ref="A13:D13"/>
    <mergeCell ref="A14:D14"/>
    <mergeCell ref="A15:D15"/>
    <mergeCell ref="A16:D16"/>
    <mergeCell ref="A27:D27"/>
    <mergeCell ref="A2:D2"/>
    <mergeCell ref="A3:D3"/>
    <mergeCell ref="A4:D4"/>
    <mergeCell ref="A5:D5"/>
    <mergeCell ref="C1:F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8" fitToHeight="0" orientation="portrait" r:id="rId1"/>
  <rowBreaks count="3" manualBreakCount="3">
    <brk id="12" max="16383" man="1"/>
    <brk id="24" max="16383" man="1"/>
    <brk id="3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F29"/>
  <sheetViews>
    <sheetView zoomScale="70" zoomScaleNormal="70" zoomScaleSheetLayoutView="120" workbookViewId="0">
      <selection activeCell="C1" sqref="C1:F1"/>
    </sheetView>
  </sheetViews>
  <sheetFormatPr defaultColWidth="9.1796875" defaultRowHeight="23.5" x14ac:dyDescent="0.35"/>
  <cols>
    <col min="1" max="1" width="5.7265625" style="3" customWidth="1"/>
    <col min="2" max="2" width="18.7265625" style="4" customWidth="1"/>
    <col min="3" max="3" width="65.54296875" style="6" customWidth="1"/>
    <col min="4" max="4" width="26.1796875" style="5" customWidth="1"/>
    <col min="5" max="5" width="22.453125" style="59" hidden="1" customWidth="1"/>
    <col min="6" max="16384" width="9.1796875" style="3"/>
  </cols>
  <sheetData>
    <row r="1" spans="1:6" s="7" customFormat="1" ht="95.5" customHeight="1" thickBot="1" x14ac:dyDescent="0.4">
      <c r="C1" s="86" t="s">
        <v>296</v>
      </c>
      <c r="D1" s="86"/>
      <c r="E1" s="86"/>
      <c r="F1" s="86"/>
    </row>
    <row r="2" spans="1:6" s="7" customFormat="1" ht="15" thickBot="1" x14ac:dyDescent="0.4">
      <c r="A2" s="104" t="s">
        <v>95</v>
      </c>
      <c r="B2" s="105"/>
      <c r="C2" s="105"/>
      <c r="D2" s="105"/>
      <c r="E2" s="53" t="s">
        <v>45</v>
      </c>
    </row>
    <row r="3" spans="1:6" s="7" customFormat="1" ht="107.25" customHeight="1" thickBot="1" x14ac:dyDescent="0.4">
      <c r="A3" s="114"/>
      <c r="B3" s="115"/>
      <c r="C3" s="115"/>
      <c r="D3" s="115"/>
      <c r="E3" s="54">
        <v>14</v>
      </c>
    </row>
    <row r="4" spans="1:6" s="7" customFormat="1" ht="15" thickBot="1" x14ac:dyDescent="0.4">
      <c r="A4" s="116" t="s">
        <v>13</v>
      </c>
      <c r="B4" s="117"/>
      <c r="C4" s="117"/>
      <c r="D4" s="117"/>
      <c r="E4" s="55" t="s">
        <v>46</v>
      </c>
    </row>
    <row r="5" spans="1:6" s="7" customFormat="1" ht="58.5" customHeight="1" thickBot="1" x14ac:dyDescent="0.4">
      <c r="A5" s="118" t="s">
        <v>16</v>
      </c>
      <c r="B5" s="119"/>
      <c r="C5" s="120"/>
      <c r="D5" s="120"/>
      <c r="E5" s="56">
        <v>353</v>
      </c>
    </row>
    <row r="6" spans="1:6" s="7" customFormat="1" ht="40.5" customHeight="1" thickBot="1" x14ac:dyDescent="0.4">
      <c r="A6" s="34" t="s">
        <v>11</v>
      </c>
      <c r="B6" s="35" t="s">
        <v>15</v>
      </c>
      <c r="C6" s="35" t="s">
        <v>12</v>
      </c>
      <c r="D6" s="36" t="s">
        <v>37</v>
      </c>
      <c r="E6" s="57" t="s">
        <v>47</v>
      </c>
    </row>
    <row r="7" spans="1:6" s="7" customFormat="1" ht="81" customHeight="1" thickBot="1" x14ac:dyDescent="0.4">
      <c r="A7" s="27">
        <v>1</v>
      </c>
      <c r="B7" s="28" t="s">
        <v>96</v>
      </c>
      <c r="C7" s="29" t="str">
        <f>"Потребление: от сети - 12 Вт., светодиодов - 10 Вт.
Световой поток: "&amp;E7*$E$5&amp;" Лм. (5000К)
Световой поток с учетом потерь на оптике: "&amp;ROUND((E7*$E$5)-((E7*$E$5)*$E$3/100),0)&amp;" Лм. (5000К)
Количество светодиодов: "&amp;E7&amp;" шт.
Габаритные размеры без консоли (ДхШхВ):  216х81х73 мм.
Масса: 2 кг."</f>
        <v>Потребление: от сети - 12 Вт., светодиодов - 10 Вт.
Световой поток: 1765 Лм. (5000К)
Световой поток с учетом потерь на оптике: 1518 Лм. (5000К)
Количество светодиодов: 5 шт.
Габаритные размеры без консоли (ДхШхВ):  216х81х73 мм.
Масса: 2 кг.</v>
      </c>
      <c r="D7" s="30">
        <v>3470</v>
      </c>
      <c r="E7" s="58">
        <v>5</v>
      </c>
    </row>
    <row r="8" spans="1:6" s="7" customFormat="1" ht="81" customHeight="1" thickBot="1" x14ac:dyDescent="0.4">
      <c r="A8" s="13">
        <v>2</v>
      </c>
      <c r="B8" s="14" t="s">
        <v>97</v>
      </c>
      <c r="C8" s="15" t="str">
        <f>"Потребление: от сети - 25 Вт., светодиодов - 23 Вт.
Световой поток: "&amp;E8*$E$5&amp;" Лм. (5000К)
Световой поток с учетом потерь на оптике: "&amp;ROUND((E8*$E$5)-((E8*$E$5)*$E$3/100),0)&amp;" Лм. (5000К)
Количество светодиодов: "&amp;E8&amp;" шт.
Габаритные размеры без консоли (ДхШхВ): 266х81х73 мм.
Масса: 2,5 кг."</f>
        <v>Потребление: от сети - 25 Вт., светодиодов - 23 Вт.
Световой поток: 3530 Лм. (5000К)
Световой поток с учетом потерь на оптике: 3036 Лм. (5000К)
Количество светодиодов: 10 шт.
Габаритные размеры без консоли (ДхШхВ): 266х81х73 мм.
Масса: 2,5 кг.</v>
      </c>
      <c r="D8" s="30">
        <v>5230</v>
      </c>
      <c r="E8" s="58">
        <v>10</v>
      </c>
    </row>
    <row r="9" spans="1:6" s="7" customFormat="1" ht="81" customHeight="1" thickBot="1" x14ac:dyDescent="0.4">
      <c r="A9" s="13">
        <v>3</v>
      </c>
      <c r="B9" s="14" t="s">
        <v>98</v>
      </c>
      <c r="C9" s="15" t="str">
        <f>"Потребление: от сети - 35 Вт., светодиодов - 32 Вт.
Световой поток: "&amp;E9*$E$5&amp;" Лм. (5000К)
Световой поток с учетом потерь на оптике: "&amp;ROUND((E9*$E$5)-((E9*$E$5)*$E$3/100),0)&amp;" Лм. (5000К)
Количество светодиодов: "&amp;E9&amp;" шт.
Габаритные размеры без консоли (ДхШхВ): 356х81х73 мм.
Масса: 3 кг."</f>
        <v>Потребление: от сети - 35 Вт., светодиодов - 32 Вт.
Световой поток: 5295 Лм. (5000К)
Световой поток с учетом потерь на оптике: 4554 Лм. (5000К)
Количество светодиодов: 15 шт.
Габаритные размеры без консоли (ДхШхВ): 356х81х73 мм.
Масса: 3 кг.</v>
      </c>
      <c r="D9" s="30">
        <v>6580</v>
      </c>
      <c r="E9" s="58">
        <v>15</v>
      </c>
    </row>
    <row r="10" spans="1:6" s="7" customFormat="1" ht="81" customHeight="1" thickBot="1" x14ac:dyDescent="0.4">
      <c r="A10" s="13">
        <v>4</v>
      </c>
      <c r="B10" s="14" t="s">
        <v>99</v>
      </c>
      <c r="C10" s="15" t="str">
        <f>"Потребление: от сети - 50 Вт., светодиодов - 44 Вт.
Световой поток: "&amp;E10*$E$5&amp;" Лм. (5000К)
Световой поток с учетом потерь на оптике: "&amp;ROUND((E10*$E$5)-((E10*$E$5)*$E$3/100),0)&amp;" Лм. (5000К)
Количество светодиодов: "&amp;E10&amp;" шт.
Габаритные размеры без консоли (ДхШхВ): 456х81х73 мм.
Масса: 3,5 кг."</f>
        <v>Потребление: от сети - 50 Вт., светодиодов - 44 Вт.
Световой поток: 7060 Лм. (5000К)
Световой поток с учетом потерь на оптике: 6072 Лм. (5000К)
Количество светодиодов: 20 шт.
Габаритные размеры без консоли (ДхШхВ): 456х81х73 мм.
Масса: 3,5 кг.</v>
      </c>
      <c r="D10" s="30">
        <v>8660</v>
      </c>
      <c r="E10" s="58">
        <v>20</v>
      </c>
    </row>
    <row r="11" spans="1:6" s="7" customFormat="1" ht="81" customHeight="1" thickBot="1" x14ac:dyDescent="0.4">
      <c r="A11" s="13">
        <v>5</v>
      </c>
      <c r="B11" s="14" t="s">
        <v>100</v>
      </c>
      <c r="C11" s="15" t="str">
        <f>"Потребление: от сети - 60 Вт., светодиодов - 56 Вт.
Световой поток: "&amp;E11*$E$5&amp;" Лм. (5000К)
Световой поток с учетом потерь на оптике: "&amp;ROUND((E11*$E$5)-((E11*$E$5)*$E$3/100),0)&amp;" Лм. (5000К)
Количество светодиодов: "&amp;E11&amp;" шт.
Габаритные размеры без консоли (ДхШхВ): 556х81х73 мм.
Масса: 4 кг."</f>
        <v>Потребление: от сети - 60 Вт., светодиодов - 56 Вт.
Световой поток: 8825 Лм. (5000К)
Световой поток с учетом потерь на оптике: 7590 Лм. (5000К)
Количество светодиодов: 25 шт.
Габаритные размеры без консоли (ДхШхВ): 556х81х73 мм.
Масса: 4 кг.</v>
      </c>
      <c r="D11" s="30">
        <v>1010</v>
      </c>
      <c r="E11" s="58">
        <v>25</v>
      </c>
    </row>
    <row r="12" spans="1:6" s="7" customFormat="1" ht="81" customHeight="1" thickBot="1" x14ac:dyDescent="0.4">
      <c r="A12" s="13">
        <v>6</v>
      </c>
      <c r="B12" s="14" t="s">
        <v>101</v>
      </c>
      <c r="C12" s="15" t="str">
        <f>"Потребление: от сети - 72 Вт., светодиодов - 65 Вт.
Световой поток: "&amp;E12*$E$5&amp;" Лм. (5000К)
Световой поток с учетом потерь на оптике: "&amp;ROUND((E12*$E$5)-((E12*$E$5)*$E$3/100),0)&amp;" Лм. (5000К)
Количество светодиодов: "&amp;E12&amp;" шт.
Габаритные размеры без консоли (ДхШхВ): 656х81х73 мм.
Масса: 4,5 кг."</f>
        <v>Потребление: от сети - 72 Вт., светодиодов - 65 Вт.
Световой поток: 10590 Лм. (5000К)
Световой поток с учетом потерь на оптике: 9107 Лм. (5000К)
Количество светодиодов: 30 шт.
Габаритные размеры без консоли (ДхШхВ): 656х81х73 мм.
Масса: 4,5 кг.</v>
      </c>
      <c r="D12" s="30">
        <v>11050</v>
      </c>
      <c r="E12" s="58">
        <v>30</v>
      </c>
    </row>
    <row r="13" spans="1:6" s="7" customFormat="1" ht="81" customHeight="1" thickBot="1" x14ac:dyDescent="0.4">
      <c r="A13" s="13">
        <v>7</v>
      </c>
      <c r="B13" s="14" t="s">
        <v>102</v>
      </c>
      <c r="C13" s="15" t="str">
        <f>"Потребление: от сети - 84 Вт., светодиодов - 76 Вт.
Световой поток: "&amp;E13*$E$5&amp;" Лм. (5000К)
Световой поток с учетом потерь на оптике: "&amp;ROUND((E13*$E$5)-((E13*$E$5)*$E$3/100),0)&amp;" Лм. (5000К)
Количество светодиодов: "&amp;E13&amp;" шт.
Габаритные размеры без консоли (ДхШхВ): 756х81х73 мм.
Масса: 5 кг."</f>
        <v>Потребление: от сети - 84 Вт., светодиодов - 76 Вт.
Световой поток: 12355 Лм. (5000К)
Световой поток с учетом потерь на оптике: 10625 Лм. (5000К)
Количество светодиодов: 35 шт.
Габаритные размеры без консоли (ДхШхВ): 756х81х73 мм.
Масса: 5 кг.</v>
      </c>
      <c r="D13" s="30">
        <v>13750</v>
      </c>
      <c r="E13" s="58">
        <v>35</v>
      </c>
    </row>
    <row r="14" spans="1:6" s="7" customFormat="1" ht="81" customHeight="1" thickBot="1" x14ac:dyDescent="0.4">
      <c r="A14" s="17">
        <v>8</v>
      </c>
      <c r="B14" s="18" t="s">
        <v>103</v>
      </c>
      <c r="C14" s="15" t="str">
        <f>"Потребление: от сети - 96 Вт., светодиодов - 87 Вт.
Световой поток: "&amp;E14*$E$5&amp;" Лм. (5000К)
Световой поток с учетом потерь на оптике: "&amp;ROUND((E14*$E$5)-((E14*$E$5)*$E$3/100),0)&amp;" Лм. (5000К)
Количество светодиодов: "&amp;E14&amp;" шт.
Габаритные размеры без консоли (ДхШхВ): 856х81х73 мм.
Масса: 6 кг."</f>
        <v>Потребление: от сети - 96 Вт., светодиодов - 87 Вт.
Световой поток: 14120 Лм. (5000К)
Световой поток с учетом потерь на оптике: 12143 Лм. (5000К)
Количество светодиодов: 40 шт.
Габаритные размеры без консоли (ДхШхВ): 856х81х73 мм.
Масса: 6 кг.</v>
      </c>
      <c r="D14" s="30">
        <v>14990</v>
      </c>
      <c r="E14" s="58">
        <v>40</v>
      </c>
    </row>
    <row r="15" spans="1:6" s="7" customFormat="1" ht="15.75" customHeight="1" thickBot="1" x14ac:dyDescent="0.4">
      <c r="A15" s="121" t="s">
        <v>104</v>
      </c>
      <c r="B15" s="122"/>
      <c r="C15" s="122"/>
      <c r="D15" s="122"/>
      <c r="E15" s="58"/>
    </row>
    <row r="16" spans="1:6" s="7" customFormat="1" ht="107.25" customHeight="1" thickBot="1" x14ac:dyDescent="0.4">
      <c r="A16" s="114"/>
      <c r="B16" s="115"/>
      <c r="C16" s="115"/>
      <c r="D16" s="115"/>
      <c r="E16" s="58"/>
    </row>
    <row r="17" spans="1:5" s="7" customFormat="1" ht="15.75" customHeight="1" thickBot="1" x14ac:dyDescent="0.4">
      <c r="A17" s="116" t="s">
        <v>13</v>
      </c>
      <c r="B17" s="117"/>
      <c r="C17" s="117"/>
      <c r="D17" s="117"/>
      <c r="E17" s="58"/>
    </row>
    <row r="18" spans="1:5" s="7" customFormat="1" ht="58.5" customHeight="1" thickBot="1" x14ac:dyDescent="0.4">
      <c r="A18" s="118" t="s">
        <v>17</v>
      </c>
      <c r="B18" s="119"/>
      <c r="C18" s="120"/>
      <c r="D18" s="120"/>
      <c r="E18" s="58"/>
    </row>
    <row r="19" spans="1:5" s="7" customFormat="1" ht="40.5" customHeight="1" thickBot="1" x14ac:dyDescent="0.4">
      <c r="A19" s="47" t="s">
        <v>11</v>
      </c>
      <c r="B19" s="48" t="s">
        <v>15</v>
      </c>
      <c r="C19" s="48" t="s">
        <v>12</v>
      </c>
      <c r="D19" s="36" t="s">
        <v>37</v>
      </c>
      <c r="E19" s="58"/>
    </row>
    <row r="20" spans="1:5" s="7" customFormat="1" ht="78.5" thickBot="1" x14ac:dyDescent="0.4">
      <c r="A20" s="47">
        <v>1</v>
      </c>
      <c r="B20" s="28" t="s">
        <v>105</v>
      </c>
      <c r="C20" s="29" t="str">
        <f>"Потребление: от сети - 25 Вт., светодиодов - 22 Вт.
Световой поток: "&amp;E20*$E$5&amp;" Лм. (5000К)
Световой поток с учетом потерь на оптике: "&amp;ROUND((E20*$E$5)-((E20*$E$5)*$E$3/100),0)&amp;" Лм. (5000К)
Количество светодиодов: "&amp;E20&amp;" шт.
Габаритные размеры без консоли (ДхШхВ): 180х175х79 мм.
Масса: 1,4 кг."</f>
        <v>Потребление: от сети - 25 Вт., светодиодов - 22 Вт.
Световой поток: 3530 Лм. (5000К)
Световой поток с учетом потерь на оптике: 3036 Лм. (5000К)
Количество светодиодов: 10 шт.
Габаритные размеры без консоли (ДхШхВ): 180х175х79 мм.
Масса: 1,4 кг.</v>
      </c>
      <c r="D20" s="30">
        <v>5630</v>
      </c>
      <c r="E20" s="58">
        <v>10</v>
      </c>
    </row>
    <row r="21" spans="1:5" s="7" customFormat="1" ht="81" customHeight="1" thickBot="1" x14ac:dyDescent="0.4">
      <c r="A21" s="27">
        <v>2</v>
      </c>
      <c r="B21" s="28" t="s">
        <v>106</v>
      </c>
      <c r="C21" s="29" t="str">
        <f>"Потребление: от сети - 50 Вт., светодиодов - 44 Вт.
Световой поток: "&amp;E21*$E$5&amp;" Лм. (5000К)
Световой поток с учетом потерь на оптике: "&amp;ROUND((E21*$E$5)-((E21*$E$5)*$E$3/100),0)&amp;" Лм. (5000К)
Количество светодиодов: "&amp;E21&amp;" шт.
Габаритные размеры без консоли (ДхШхВ): 330х175х79 мм.
Масса: 2,5 кг."</f>
        <v>Потребление: от сети - 50 Вт., светодиодов - 44 Вт.
Световой поток: 7060 Лм. (5000К)
Световой поток с учетом потерь на оптике: 6072 Лм. (5000К)
Количество светодиодов: 20 шт.
Габаритные размеры без консоли (ДхШхВ): 330х175х79 мм.
Масса: 2,5 кг.</v>
      </c>
      <c r="D21" s="30">
        <v>9760</v>
      </c>
      <c r="E21" s="58">
        <v>20</v>
      </c>
    </row>
    <row r="22" spans="1:5" s="7" customFormat="1" ht="81" customHeight="1" thickBot="1" x14ac:dyDescent="0.4">
      <c r="A22" s="13">
        <v>3</v>
      </c>
      <c r="B22" s="14" t="s">
        <v>107</v>
      </c>
      <c r="C22" s="15" t="str">
        <f>"Потребление: от сети - 72 Вт., светодиодов - 65Вт.
Световой поток: "&amp;E22*$E$5&amp;" Лм. (5000К)
Световой поток с учетом потерь на оптике: "&amp;ROUND((E22*$E$5)-((E22*$E$5)*$E$3/100),0)&amp;" Лм. (5000К)
Количество светодиодов: "&amp;E22&amp;" шт.
Габаритные размеры без консоли (ДхШхВ): 430х175х79 мм.
Масса: 3 кг."</f>
        <v>Потребление: от сети - 72 Вт., светодиодов - 65Вт.
Световой поток: 10590 Лм. (5000К)
Световой поток с учетом потерь на оптике: 9107 Лм. (5000К)
Количество светодиодов: 30 шт.
Габаритные размеры без консоли (ДхШхВ): 430х175х79 мм.
Масса: 3 кг.</v>
      </c>
      <c r="D22" s="30">
        <v>14580</v>
      </c>
      <c r="E22" s="58">
        <v>30</v>
      </c>
    </row>
    <row r="23" spans="1:5" s="7" customFormat="1" ht="81" customHeight="1" thickBot="1" x14ac:dyDescent="0.4">
      <c r="A23" s="13">
        <v>4</v>
      </c>
      <c r="B23" s="14" t="s">
        <v>108</v>
      </c>
      <c r="C23" s="15" t="str">
        <f>"Потребление: от сети - 96 Вт., светодиодов - 87 Вт.
Световой поток: "&amp;E23*$E$5&amp;" Лм. (5000К)
Световой поток с учетом потерь на оптике: "&amp;ROUND((E23*$E$5)-((E23*$E$5)*$E$3/100),0)&amp;" Лм. (5000К)
Количество светодиодов: "&amp;E23&amp;" шт.
Габаритные размеры без консоли (ДхШхВ): 530х175х79 мм.
Масса: 3,6 кг."</f>
        <v>Потребление: от сети - 96 Вт., светодиодов - 87 Вт.
Световой поток: 14120 Лм. (5000К)
Световой поток с учетом потерь на оптике: 12143 Лм. (5000К)
Количество светодиодов: 40 шт.
Габаритные размеры без консоли (ДхШхВ): 530х175х79 мм.
Масса: 3,6 кг.</v>
      </c>
      <c r="D23" s="30">
        <v>15610</v>
      </c>
      <c r="E23" s="60">
        <v>40</v>
      </c>
    </row>
    <row r="24" spans="1:5" s="7" customFormat="1" ht="81" customHeight="1" thickBot="1" x14ac:dyDescent="0.4">
      <c r="A24" s="13">
        <v>5</v>
      </c>
      <c r="B24" s="14" t="s">
        <v>109</v>
      </c>
      <c r="C24" s="15" t="str">
        <f>"Потребление: от сети - 120 Вт., светодиодов - 109 Вт.
Световой поток: "&amp;E24*$E$5&amp;" Лм. (5000К)
Световой поток с учетом потерь на оптике: "&amp;ROUND((E24*$E$5)-((E24*$E$5)*$E$3/100),0)&amp;" Лм. (5000К)
Количество светодиодов: "&amp;E24&amp;" шт.
Габаритные размеры без консоли (ДхШхВ): 630х175х79 мм.
Масса: 4,6 кг."</f>
        <v>Потребление: от сети - 120 Вт., светодиодов - 109 Вт.
Световой поток: 17650 Лм. (5000К)
Световой поток с учетом потерь на оптике: 15179 Лм. (5000К)
Количество светодиодов: 50 шт.
Габаритные размеры без консоли (ДхШхВ): 630х175х79 мм.
Масса: 4,6 кг.</v>
      </c>
      <c r="D24" s="30">
        <v>17900</v>
      </c>
      <c r="E24" s="60">
        <v>50</v>
      </c>
    </row>
    <row r="25" spans="1:5" s="7" customFormat="1" ht="81" customHeight="1" thickBot="1" x14ac:dyDescent="0.4">
      <c r="A25" s="13">
        <v>6</v>
      </c>
      <c r="B25" s="14" t="s">
        <v>110</v>
      </c>
      <c r="C25" s="15" t="str">
        <f>"Потребление: от сети - 140 Вт., светодиодов - 130 Вт.
Световой поток: "&amp;E25*$E$5&amp;" Лм. (5000К)
Световой поток с учетом потерь на оптике: "&amp;ROUND((E25*$E$5)-((E25*$E$5)*$E$3/100),0)&amp;" Лм. (5000К)
Количество светодиодов: "&amp;E25&amp;" шт.
Габаритные размеры без консоли (ДхШхВ): 730х175х79 мм.
Масса: 5,6 кг."</f>
        <v>Потребление: от сети - 140 Вт., светодиодов - 130 Вт.
Световой поток: 21180 Лм. (5000К)
Световой поток с учетом потерь на оптике: 18215 Лм. (5000К)
Количество светодиодов: 60 шт.
Габаритные размеры без консоли (ДхШхВ): 730х175х79 мм.
Масса: 5,6 кг.</v>
      </c>
      <c r="D25" s="30">
        <v>21860</v>
      </c>
      <c r="E25" s="60">
        <v>60</v>
      </c>
    </row>
    <row r="26" spans="1:5" s="7" customFormat="1" ht="81" customHeight="1" thickBot="1" x14ac:dyDescent="0.4">
      <c r="A26" s="13">
        <v>7</v>
      </c>
      <c r="B26" s="16" t="s">
        <v>111</v>
      </c>
      <c r="C26" s="15" t="str">
        <f>"Потребление: от сети - 165 Вт., светодиодов - 152 Вт.
Световой поток: "&amp;E26*$E$5&amp;" Лм. (5000К)
Световой поток с учетом потерь на оптике: "&amp;ROUND((E26*$E$5)-((E26*$E$5)*$E$3/100),0)&amp;" Лм. (5000К)
Количество светодиодов: "&amp;E26&amp;" шт.
Габаритные размеры без консоли (ДхШхВ): 830х175х79 мм.
Масса: 6,6 кг."</f>
        <v>Потребление: от сети - 165 Вт., светодиодов - 152 Вт.
Световой поток: 24710 Лм. (5000К)
Световой поток с учетом потерь на оптике: 21251 Лм. (5000К)
Количество светодиодов: 70 шт.
Габаритные размеры без консоли (ДхШхВ): 830х175х79 мм.
Масса: 6,6 кг.</v>
      </c>
      <c r="D26" s="30">
        <v>24980</v>
      </c>
      <c r="E26" s="60">
        <v>70</v>
      </c>
    </row>
    <row r="27" spans="1:5" s="7" customFormat="1" ht="81" customHeight="1" thickBot="1" x14ac:dyDescent="0.4">
      <c r="A27" s="13">
        <v>8</v>
      </c>
      <c r="B27" s="16" t="s">
        <v>112</v>
      </c>
      <c r="C27" s="15" t="str">
        <f>"Потребление: от сети - 190 Вт., светодиодов - 175 Вт.
Световой поток: "&amp;E27*$E$5&amp;" Лм. (5000К)
Световой поток с учетом потерь на оптике: "&amp;ROUND((E27*$E$5)-((E27*$E$5)*$E$3/100),0)&amp;" Лм. (5000К)
Количество светодиодов: "&amp;E27&amp;" шт.
Габаритные размеры без консоли (ДхШхВ): 930х175х79 мм.
Масса: 7,6 кг."</f>
        <v>Потребление: от сети - 190 Вт., светодиодов - 175 Вт.
Световой поток: 28240 Лм. (5000К)
Световой поток с учетом потерь на оптике: 24286 Лм. (5000К)
Количество светодиодов: 80 шт.
Габаритные размеры без консоли (ДхШхВ): 930х175х79 мм.
Масса: 7,6 кг.</v>
      </c>
      <c r="D27" s="30">
        <v>26850</v>
      </c>
      <c r="E27" s="60">
        <v>80</v>
      </c>
    </row>
    <row r="28" spans="1:5" s="7" customFormat="1" ht="81" customHeight="1" thickBot="1" x14ac:dyDescent="0.4">
      <c r="A28" s="13">
        <v>9</v>
      </c>
      <c r="B28" s="16" t="s">
        <v>113</v>
      </c>
      <c r="C28" s="15" t="str">
        <f>"Потребление: от сети - 213 Вт., светодиодов - 195 Вт.
Световой поток: "&amp;E28*$E$5&amp;" Лм. (5000К)
Световой поток с учетом потерь на оптике: "&amp;ROUND((E28*$E$5)-((E28*$E$5)*$E$3/100),0)&amp;" Лм. (5000К)
Количество светодиодов: "&amp;E28&amp;" шт.
Габаритные размеры без консоли (ДхШхВ): 1030х175х79 мм.
Масса: 8,6 кг."</f>
        <v>Потребление: от сети - 213 Вт., светодиодов - 195 Вт.
Световой поток: 31770 Лм. (5000К)
Световой поток с учетом потерь на оптике: 27322 Лм. (5000К)
Количество светодиодов: 90 шт.
Габаритные размеры без консоли (ДхШхВ): 1030х175х79 мм.
Масса: 8,6 кг.</v>
      </c>
      <c r="D28" s="30">
        <v>31650</v>
      </c>
      <c r="E28" s="60">
        <v>90</v>
      </c>
    </row>
    <row r="29" spans="1:5" s="7" customFormat="1" ht="81" customHeight="1" thickBot="1" x14ac:dyDescent="0.4">
      <c r="A29" s="17">
        <v>10</v>
      </c>
      <c r="B29" s="20" t="s">
        <v>114</v>
      </c>
      <c r="C29" s="19" t="str">
        <f>"Потребление: от сети - 235 Вт., светодиодов - 217 Вт.
Световой поток: "&amp;E29*$E$5&amp;" Лм. (5000К)
Световой поток с учетом потерь на оптике: "&amp;ROUND((E29*$E$5)-((E29*$E$5)*$E$3/100),0)&amp;" Лм. (5000К)
Количество светодиодов: "&amp;E29&amp;" шт.
Габаритные размеры без консоли (ДхШхВ): 1130х175х79 мм.
Масса: 10 кг."</f>
        <v>Потребление: от сети - 235 Вт., светодиодов - 217 Вт.
Световой поток: 35300 Лм. (5000К)
Световой поток с учетом потерь на оптике: 30358 Лм. (5000К)
Количество светодиодов: 100 шт.
Габаритные размеры без консоли (ДхШхВ): 1130х175х79 мм.
Масса: 10 кг.</v>
      </c>
      <c r="D29" s="30">
        <v>33940</v>
      </c>
      <c r="E29" s="61">
        <v>100</v>
      </c>
    </row>
  </sheetData>
  <mergeCells count="9">
    <mergeCell ref="C1:F1"/>
    <mergeCell ref="A2:D2"/>
    <mergeCell ref="A18:D18"/>
    <mergeCell ref="A3:D3"/>
    <mergeCell ref="A4:D4"/>
    <mergeCell ref="A5:D5"/>
    <mergeCell ref="A15:D15"/>
    <mergeCell ref="A16:D16"/>
    <mergeCell ref="A17:D1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84" fitToHeight="0" orientation="portrait" r:id="rId1"/>
  <rowBreaks count="1" manualBreakCount="1">
    <brk id="14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66"/>
    <pageSetUpPr fitToPage="1"/>
  </sheetPr>
  <dimension ref="A1:F45"/>
  <sheetViews>
    <sheetView tabSelected="1" topLeftCell="B16" zoomScale="70" zoomScaleNormal="70" zoomScaleSheetLayoutView="120" workbookViewId="0">
      <selection activeCell="D20" sqref="D20"/>
    </sheetView>
  </sheetViews>
  <sheetFormatPr defaultColWidth="9.1796875" defaultRowHeight="23.5" x14ac:dyDescent="0.35"/>
  <cols>
    <col min="1" max="1" width="5.7265625" style="3" customWidth="1"/>
    <col min="2" max="2" width="18.7265625" style="4" customWidth="1"/>
    <col min="3" max="3" width="69.81640625" style="6" customWidth="1"/>
    <col min="4" max="4" width="24.26953125" style="5" customWidth="1"/>
    <col min="5" max="5" width="18.81640625" style="59" hidden="1" customWidth="1"/>
    <col min="6" max="16384" width="9.1796875" style="3"/>
  </cols>
  <sheetData>
    <row r="1" spans="1:6" s="7" customFormat="1" ht="98.5" customHeight="1" thickBot="1" x14ac:dyDescent="0.4">
      <c r="C1" s="86" t="s">
        <v>296</v>
      </c>
      <c r="D1" s="86"/>
      <c r="E1" s="86"/>
      <c r="F1" s="86"/>
    </row>
    <row r="2" spans="1:6" s="7" customFormat="1" ht="15" thickBot="1" x14ac:dyDescent="0.4">
      <c r="A2" s="104" t="s">
        <v>115</v>
      </c>
      <c r="B2" s="105"/>
      <c r="C2" s="105"/>
      <c r="D2" s="105"/>
      <c r="E2" s="53" t="s">
        <v>45</v>
      </c>
    </row>
    <row r="3" spans="1:6" s="7" customFormat="1" ht="107.25" customHeight="1" thickBot="1" x14ac:dyDescent="0.4">
      <c r="A3" s="123"/>
      <c r="B3" s="124"/>
      <c r="C3" s="124"/>
      <c r="D3" s="124"/>
      <c r="E3" s="54">
        <v>9</v>
      </c>
    </row>
    <row r="4" spans="1:6" s="7" customFormat="1" ht="15" thickBot="1" x14ac:dyDescent="0.4">
      <c r="A4" s="116" t="s">
        <v>13</v>
      </c>
      <c r="B4" s="117"/>
      <c r="C4" s="117"/>
      <c r="D4" s="117"/>
      <c r="E4" s="55" t="s">
        <v>46</v>
      </c>
    </row>
    <row r="5" spans="1:6" s="7" customFormat="1" ht="54" customHeight="1" thickBot="1" x14ac:dyDescent="0.4">
      <c r="A5" s="118" t="s">
        <v>53</v>
      </c>
      <c r="B5" s="119"/>
      <c r="C5" s="120"/>
      <c r="D5" s="120"/>
      <c r="E5" s="56">
        <v>94</v>
      </c>
    </row>
    <row r="6" spans="1:6" s="7" customFormat="1" ht="40.5" customHeight="1" thickBot="1" x14ac:dyDescent="0.4">
      <c r="A6" s="34" t="s">
        <v>11</v>
      </c>
      <c r="B6" s="35" t="s">
        <v>15</v>
      </c>
      <c r="C6" s="35" t="s">
        <v>12</v>
      </c>
      <c r="D6" s="36" t="s">
        <v>37</v>
      </c>
      <c r="E6" s="57" t="s">
        <v>47</v>
      </c>
    </row>
    <row r="7" spans="1:6" s="7" customFormat="1" ht="65.5" thickBot="1" x14ac:dyDescent="0.4">
      <c r="A7" s="27">
        <v>1</v>
      </c>
      <c r="B7" s="28" t="s">
        <v>116</v>
      </c>
      <c r="C7" s="29" t="str">
        <f>"Потребление: от сети - 50 Вт., светодиодов - 45 Вт.
Световой поток: "&amp;E7*$E$5&amp;" Лм. (5000К)
Световой поток с учетом потерь на оптике: "&amp;ROUND((E7*$E$5)-((E7*$E$5)*$E$3/100),0)&amp;" Лм. (5000К)
Количество светодиодов: "&amp;E7&amp;" шт.
Габаритные размеры с выносным драйвером (ДхШхВ): 320х200х52 мм. Масса: 3,7 кг"</f>
        <v>Потребление: от сети - 50 Вт., светодиодов - 45 Вт.
Световой поток: 7520 Лм. (5000К)
Световой поток с учетом потерь на оптике: 6843 Лм. (5000К)
Количество светодиодов: 80 шт.
Габаритные размеры с выносным драйвером (ДхШхВ): 320х200х52 мм. Масса: 3,7 кг</v>
      </c>
      <c r="D7" s="31">
        <v>7200</v>
      </c>
      <c r="E7" s="58">
        <v>80</v>
      </c>
    </row>
    <row r="8" spans="1:6" s="7" customFormat="1" ht="65.5" thickBot="1" x14ac:dyDescent="0.4">
      <c r="A8" s="13">
        <v>2</v>
      </c>
      <c r="B8" s="14" t="s">
        <v>117</v>
      </c>
      <c r="C8" s="15" t="str">
        <f>"Потребление: от сети - 60 Вт., светодиодов - 55 Вт.
Световой поток: "&amp;E8*$E$5&amp;" Лм. (5000К)
Световой поток с учетом потерь на оптике: "&amp;ROUND((E8*$E$5)-((E8*$E$5)*$E$3/100),0)&amp;" Лм. (5000К)
Количество светодиодов: "&amp;E8&amp;" шт.
Габаритные размеры с выносным драйвером (ДхШхВ): 320х200х52 мм. Масса: 3,8 кг"</f>
        <v>Потребление: от сети - 60 Вт., светодиодов - 55 Вт.
Световой поток: 9776 Лм. (5000К)
Световой поток с учетом потерь на оптике: 8896 Лм. (5000К)
Количество светодиодов: 104 шт.
Габаритные размеры с выносным драйвером (ДхШхВ): 320х200х52 мм. Масса: 3,8 кг</v>
      </c>
      <c r="D8" s="31">
        <v>7920</v>
      </c>
      <c r="E8" s="58">
        <v>104</v>
      </c>
    </row>
    <row r="9" spans="1:6" s="7" customFormat="1" ht="65.5" thickBot="1" x14ac:dyDescent="0.4">
      <c r="A9" s="13">
        <v>3</v>
      </c>
      <c r="B9" s="16" t="s">
        <v>118</v>
      </c>
      <c r="C9" s="15" t="str">
        <f>"Потребление: от сети - 75 Вт., светодиодов - 68 Вт.
Световой поток: "&amp;E9*$E$5&amp;" Лм. (5000К)
Световой поток с учетом потерь на оптике: "&amp;ROUND((E9*$E$5)-((E9*$E$5)*$E$3/100),0)&amp;" Лм. (5000К)
Количество светодиодов: "&amp;E9&amp;" шт.
Габаритные размеры с выносным драйвером (ДхШхВ): 420х200х52 мм. Масса: 5,3 кг"</f>
        <v>Потребление: от сети - 75 Вт., светодиодов - 68 Вт.
Световой поток: 11280 Лм. (5000К)
Световой поток с учетом потерь на оптике: 10265 Лм. (5000К)
Количество светодиодов: 120 шт.
Габаритные размеры с выносным драйвером (ДхШхВ): 420х200х52 мм. Масса: 5,3 кг</v>
      </c>
      <c r="D9" s="31">
        <v>10770</v>
      </c>
      <c r="E9" s="58">
        <v>120</v>
      </c>
    </row>
    <row r="10" spans="1:6" s="7" customFormat="1" ht="65.5" thickBot="1" x14ac:dyDescent="0.4">
      <c r="A10" s="13">
        <v>4</v>
      </c>
      <c r="B10" s="16" t="s">
        <v>119</v>
      </c>
      <c r="C10" s="15" t="str">
        <f>"Потребление: от сети - 90 Вт., светодиодов - 82 Вт.
Световой поток: "&amp;E10*$E$5&amp;" Лм. (5000К)
Световой поток с учетом потерь на оптике: "&amp;ROUND((E10*$E$5)-((E10*$E$5)*$E$3/100),0)&amp;" Лм. (5000К)
Количество светодиодов: "&amp;E10&amp;" шт.
Габаритные размеры с выносным драйвером (ДхШхВ): 620х200х52 мм. Масса: 5,7 кг"</f>
        <v>Потребление: от сети - 90 Вт., светодиодов - 82 Вт.
Световой поток: 14288 Лм. (5000К)
Световой поток с учетом потерь на оптике: 13002 Лм. (5000К)
Количество светодиодов: 152 шт.
Габаритные размеры с выносным драйвером (ДхШхВ): 620х200х52 мм. Масса: 5,7 кг</v>
      </c>
      <c r="D10" s="31">
        <v>12080</v>
      </c>
      <c r="E10" s="58">
        <v>152</v>
      </c>
    </row>
    <row r="11" spans="1:6" s="7" customFormat="1" ht="65.5" thickBot="1" x14ac:dyDescent="0.4">
      <c r="A11" s="13">
        <v>5</v>
      </c>
      <c r="B11" s="14" t="s">
        <v>120</v>
      </c>
      <c r="C11" s="15" t="str">
        <f>"Потребление: от сети - 100 Вт., светодиодов - 90 Вт.
Световой поток: "&amp;E11*$E$5&amp;" Лм. (5000К)
Световой поток с учетом потерь на оптике: "&amp;ROUND((E11*$E$5)-((E11*$E$5)*$E$3/100),0)&amp;" Лм. (5000К)
Количество светодиодов: "&amp;E11&amp;" шт.
Габаритные размеры с выносным драйвером (ДхШхВ): 620х200х52 мм. Масса: 5,7 кг"</f>
        <v>Потребление: от сети - 100 Вт., светодиодов - 90 Вт.
Световой поток: 15040 Лм. (5000К)
Световой поток с учетом потерь на оптике: 13686 Лм. (5000К)
Количество светодиодов: 160 шт.
Габаритные размеры с выносным драйвером (ДхШхВ): 620х200х52 мм. Масса: 5,7 кг</v>
      </c>
      <c r="D11" s="31">
        <v>12500</v>
      </c>
      <c r="E11" s="58">
        <v>160</v>
      </c>
    </row>
    <row r="12" spans="1:6" s="7" customFormat="1" ht="65.5" thickBot="1" x14ac:dyDescent="0.4">
      <c r="A12" s="17">
        <v>6</v>
      </c>
      <c r="B12" s="18" t="s">
        <v>121</v>
      </c>
      <c r="C12" s="19" t="str">
        <f>"Потребление: от сети - 120 Вт., светодиодов - 112 Вт.
Световой поток: "&amp;E12*$E$5&amp;" Лм. (5000К)
Световой поток с учетом потерь на оптике: "&amp;ROUND((E12*$E$5)-((E12*$E$5)*$E$3/100),0)&amp;" Лм. (5000К)
Количество светодиодов: "&amp;E12&amp;" шт.
Габаритные размеры с выносным драйвером (ДхШхВ): 670х200х52 мм. Масса: 6,5 кг"</f>
        <v>Потребление: от сети - 120 Вт., светодиодов - 112 Вт.
Световой поток: 19552 Лм. (5000К)
Световой поток с учетом потерь на оптике: 17792 Лм. (5000К)
Количество светодиодов: 208 шт.
Габаритные размеры с выносным драйвером (ДхШхВ): 670х200х52 мм. Масса: 6,5 кг</v>
      </c>
      <c r="D12" s="31">
        <v>14160</v>
      </c>
      <c r="E12" s="58">
        <v>208</v>
      </c>
    </row>
    <row r="13" spans="1:6" s="7" customFormat="1" ht="15" thickBot="1" x14ac:dyDescent="0.4">
      <c r="A13" s="121" t="s">
        <v>122</v>
      </c>
      <c r="B13" s="122"/>
      <c r="C13" s="122"/>
      <c r="D13" s="122"/>
      <c r="E13" s="58"/>
    </row>
    <row r="14" spans="1:6" s="7" customFormat="1" ht="107.25" customHeight="1" thickBot="1" x14ac:dyDescent="0.4">
      <c r="A14" s="114"/>
      <c r="B14" s="115"/>
      <c r="C14" s="115"/>
      <c r="D14" s="115"/>
      <c r="E14" s="58"/>
    </row>
    <row r="15" spans="1:6" s="7" customFormat="1" ht="15" thickBot="1" x14ac:dyDescent="0.4">
      <c r="A15" s="116" t="s">
        <v>13</v>
      </c>
      <c r="B15" s="117"/>
      <c r="C15" s="117"/>
      <c r="D15" s="117"/>
      <c r="E15" s="58"/>
    </row>
    <row r="16" spans="1:6" s="7" customFormat="1" ht="54" customHeight="1" thickBot="1" x14ac:dyDescent="0.4">
      <c r="A16" s="118" t="s">
        <v>52</v>
      </c>
      <c r="B16" s="119"/>
      <c r="C16" s="120"/>
      <c r="D16" s="120"/>
      <c r="E16" s="58"/>
    </row>
    <row r="17" spans="1:5" s="7" customFormat="1" ht="40.5" customHeight="1" thickBot="1" x14ac:dyDescent="0.4">
      <c r="A17" s="47" t="s">
        <v>11</v>
      </c>
      <c r="B17" s="48" t="s">
        <v>15</v>
      </c>
      <c r="C17" s="48" t="s">
        <v>12</v>
      </c>
      <c r="D17" s="36" t="s">
        <v>37</v>
      </c>
      <c r="E17" s="58"/>
    </row>
    <row r="18" spans="1:5" s="7" customFormat="1" ht="78.5" thickBot="1" x14ac:dyDescent="0.4">
      <c r="A18" s="27">
        <v>1</v>
      </c>
      <c r="B18" s="28" t="s">
        <v>123</v>
      </c>
      <c r="C18" s="29" t="str">
        <f>"Потребление: от сети - 15 Вт., светодиодов - 10 Вт.
Световой поток: "&amp;E18*$E$5&amp;" Лм. (5000К)
Световой поток с учетом потерь на оптике: "&amp;ROUND((E18*$E$5)-((E18*$E$5)*$E$3/100),0)&amp;" Лм. (5000К)
Количество светодиодов: "&amp;E18&amp;" шт.
Габаритные размеры без консоли (ДхШхВ): 216х81х73 мм.
Масса: 2 кг"</f>
        <v>Потребление: от сети - 15 Вт., светодиодов - 10 Вт.
Световой поток: 1880 Лм. (5000К)
Световой поток с учетом потерь на оптике: 1711 Лм. (5000К)
Количество светодиодов: 20 шт.
Габаритные размеры без консоли (ДхШхВ): 216х81х73 мм.
Масса: 2 кг</v>
      </c>
      <c r="D18" s="31">
        <v>3030</v>
      </c>
      <c r="E18" s="58">
        <v>20</v>
      </c>
    </row>
    <row r="19" spans="1:5" s="7" customFormat="1" ht="78.5" thickBot="1" x14ac:dyDescent="0.4">
      <c r="A19" s="13">
        <v>2</v>
      </c>
      <c r="B19" s="14" t="s">
        <v>124</v>
      </c>
      <c r="C19" s="15" t="str">
        <f>"Потребление: от сети - 25 Вт., светодиодов - 23 Вт.
Световой поток: "&amp;E19*$E$5&amp;" Лм. (5000К)
Световой поток с учетом потерь на оптике: "&amp;ROUND((E19*$E$5)-((E19*$E$5)*$E$3/100),0)&amp;" Лм. (5000К)
Количество светодиодов: "&amp;E19&amp;" шт.
Габаритные размеры без консоли (ДхШхВ): 266х81х73 мм.
Масса: 2,5 кг"</f>
        <v>Потребление: от сети - 25 Вт., светодиодов - 23 Вт.
Световой поток: 3760 Лм. (5000К)
Световой поток с учетом потерь на оптике: 3422 Лм. (5000К)
Количество светодиодов: 40 шт.
Габаритные размеры без консоли (ДхШхВ): 266х81х73 мм.
Масса: 2,5 кг</v>
      </c>
      <c r="D19" s="31">
        <v>4270</v>
      </c>
      <c r="E19" s="58">
        <v>40</v>
      </c>
    </row>
    <row r="20" spans="1:5" s="7" customFormat="1" ht="78.5" thickBot="1" x14ac:dyDescent="0.4">
      <c r="A20" s="13">
        <v>3</v>
      </c>
      <c r="B20" s="14" t="s">
        <v>125</v>
      </c>
      <c r="C20" s="15" t="str">
        <f>"Потребление: от сети - 35 Вт., светодиодов - 32 Вт.
Световой поток: "&amp;E20*$E$5&amp;" Лм. (5000К)
Световой поток с учетом потерь на оптике: "&amp;ROUND((E20*$E$5)-((E20*$E$5)*$E$3/100),0)&amp;" Лм. (5000К)
Количество светодиодов: "&amp;E20&amp;" шт.
Габаритные размеры без консоли (ДхШхВ): 356х81х73 мм.
Масса: 3 кг"</f>
        <v>Потребление: от сети - 35 Вт., светодиодов - 32 Вт.
Световой поток: 5640 Лм. (5000К)
Световой поток с учетом потерь на оптике: 5132 Лм. (5000К)
Количество светодиодов: 60 шт.
Габаритные размеры без консоли (ДхШхВ): 356х81х73 мм.
Масса: 3 кг</v>
      </c>
      <c r="D20" s="31">
        <v>5020</v>
      </c>
      <c r="E20" s="58">
        <v>60</v>
      </c>
    </row>
    <row r="21" spans="1:5" s="7" customFormat="1" ht="78.5" thickBot="1" x14ac:dyDescent="0.4">
      <c r="A21" s="13">
        <v>4</v>
      </c>
      <c r="B21" s="14" t="s">
        <v>126</v>
      </c>
      <c r="C21" s="15" t="str">
        <f>"Потребление: от сети - 50 Вт., светодиодов - 48 Вт.
Световой поток: "&amp;E21*$E$5&amp;" Лм. (5000К)
Световой поток с учетом потерь на оптике: "&amp;ROUND((E21*$E$5)-((E21*$E$5)*$E$3/100),0)&amp;" Лм. (5000К)
Количество светодиодов: "&amp;E21&amp;" шт.
Габаритные размеры без консоли (ДхШхВ): 456х81х73 мм.
Масса: 3,5 кг"</f>
        <v>Потребление: от сети - 50 Вт., светодиодов - 48 Вт.
Световой поток: 7520 Лм. (5000К)
Световой поток с учетом потерь на оптике: 6843 Лм. (5000К)
Количество светодиодов: 80 шт.
Габаритные размеры без консоли (ДхШхВ): 456х81х73 мм.
Масса: 3,5 кг</v>
      </c>
      <c r="D21" s="31">
        <v>6250</v>
      </c>
      <c r="E21" s="58">
        <v>80</v>
      </c>
    </row>
    <row r="22" spans="1:5" s="7" customFormat="1" ht="78.5" thickBot="1" x14ac:dyDescent="0.4">
      <c r="A22" s="13">
        <v>5</v>
      </c>
      <c r="B22" s="14" t="s">
        <v>127</v>
      </c>
      <c r="C22" s="15" t="str">
        <f>"Потребление: от сети - 60 Вт., светодиодов - 56 Вт.
Световой поток: "&amp;E22*$E$5&amp;" Лм. (5000К)
Световой поток с учетом потерь на оптике: "&amp;ROUND((E22*$E$5)-((E22*$E$5)*$E$3/100),0)&amp;" Лм. (5000К)
Количество светодиодов: "&amp;E22&amp;" шт.
Габаритные размеры без консоли (ДхШхВ): 556х81х73 мм.
Масса: 4 кг."</f>
        <v>Потребление: от сети - 60 Вт., светодиодов - 56 Вт.
Световой поток: 9400 Лм. (5000К)
Световой поток с учетом потерь на оптике: 8554 Лм. (5000К)
Количество светодиодов: 100 шт.
Габаритные размеры без консоли (ДхШхВ): 556х81х73 мм.
Масса: 4 кг.</v>
      </c>
      <c r="D22" s="31">
        <v>7290</v>
      </c>
      <c r="E22" s="58">
        <v>100</v>
      </c>
    </row>
    <row r="23" spans="1:5" s="7" customFormat="1" ht="78.5" thickBot="1" x14ac:dyDescent="0.4">
      <c r="A23" s="13">
        <v>6</v>
      </c>
      <c r="B23" s="14" t="s">
        <v>128</v>
      </c>
      <c r="C23" s="15" t="str">
        <f>"Потребление: от сети - 75 Вт., светодиодов - 68 Вт.
Световой поток: "&amp;E23*$E$5&amp;" Лм. (5000К)
Световой поток с учетом потерь на оптике: "&amp;ROUND((E23*$E$5)-((E23*$E$5)*$E$3/100),0)&amp;" Лм. (5000К)
Количество светодиодов: "&amp;E23&amp;" шт.
Габаритные размеры без консоли (ДхШхВ): 656х81х73 мм.
Масса: 4,5 кг"</f>
        <v>Потребление: от сети - 75 Вт., светодиодов - 68 Вт.
Световой поток: 11280 Лм. (5000К)
Световой поток с учетом потерь на оптике: 10265 Лм. (5000К)
Количество светодиодов: 120 шт.
Габаритные размеры без консоли (ДхШхВ): 656х81х73 мм.
Масса: 4,5 кг</v>
      </c>
      <c r="D23" s="31">
        <v>9790</v>
      </c>
      <c r="E23" s="58">
        <v>120</v>
      </c>
    </row>
    <row r="24" spans="1:5" s="7" customFormat="1" ht="78.5" thickBot="1" x14ac:dyDescent="0.4">
      <c r="A24" s="13">
        <v>7</v>
      </c>
      <c r="B24" s="14" t="s">
        <v>14</v>
      </c>
      <c r="C24" s="15" t="str">
        <f>"Потребление: от сети - 90 Вт., светодиодов - 79 Вт.
Световой поток: "&amp;E24*$E$5&amp;" Лм. (5000К)
Световой поток с учетом потерь на оптике: "&amp;ROUND((E24*$E$5)-((E24*$E$5)*$E$3/100),0)&amp;" Лм. (5000К)
Количество светодиодов: "&amp;E24&amp;" шт.
Габаритные размеры без консоли (ДхШхВ): 756х81х73 мм.
Масса: 5 кг"</f>
        <v>Потребление: от сети - 90 Вт., светодиодов - 79 Вт.
Световой поток: 13160 Лм. (5000К)
Световой поток с учетом потерь на оптике: 11976 Лм. (5000К)
Количество светодиодов: 140 шт.
Габаритные размеры без консоли (ДхШхВ): 756х81х73 мм.
Масса: 5 кг</v>
      </c>
      <c r="D24" s="31">
        <v>10210</v>
      </c>
      <c r="E24" s="58">
        <v>140</v>
      </c>
    </row>
    <row r="25" spans="1:5" s="7" customFormat="1" ht="78.5" thickBot="1" x14ac:dyDescent="0.4">
      <c r="A25" s="13">
        <v>8</v>
      </c>
      <c r="B25" s="14" t="s">
        <v>129</v>
      </c>
      <c r="C25" s="15" t="str">
        <f>"Потребление: от сети - 100 Вт., светодиодов - 90 Вт.
Световой поток: "&amp;E25*$E$5&amp;" Лм. (5000К)
Световой поток с учетом потерь на оптике: "&amp;ROUND((E25*$E$5)-((E25*$E$5)*$E$3/100),0)&amp;" Лм. (5000К)
Количество светодиодов: "&amp;E25&amp;" шт.
Габаритные размеры без консоли (ДхШхВ): 856х81х73 мм.
Масса: 6 кг"</f>
        <v>Потребление: от сети - 100 Вт., светодиодов - 90 Вт.
Световой поток: 15040 Лм. (5000К)
Световой поток с учетом потерь на оптике: 13686 Лм. (5000К)
Количество светодиодов: 160 шт.
Габаритные размеры без консоли (ДхШхВ): 856х81х73 мм.
Масса: 6 кг</v>
      </c>
      <c r="D25" s="31">
        <v>11250</v>
      </c>
      <c r="E25" s="58">
        <v>160</v>
      </c>
    </row>
    <row r="26" spans="1:5" s="7" customFormat="1" ht="78.5" thickBot="1" x14ac:dyDescent="0.4">
      <c r="A26" s="17">
        <v>9</v>
      </c>
      <c r="B26" s="18" t="s">
        <v>130</v>
      </c>
      <c r="C26" s="19" t="str">
        <f>"Потребление: от сети - 123 Вт., светодиодов - 112 Вт.
Световой поток: "&amp;E26*$E$5&amp;" Лм. (5000К)
Световой поток с учетом потерь на оптике: "&amp;ROUND((E26*$E$5)-((E26*$E$5)*$E$3/100),0)&amp;" Лм. (5000К)
Количество светодиодов: "&amp;E26&amp;" шт.
Габаритные размеры без консоли (ДхШхВ): 1056х81х73 мм.
Масса: 7 кг"</f>
        <v>Потребление: от сети - 123 Вт., светодиодов - 112 Вт.
Световой поток: 18800 Лм. (5000К)
Световой поток с учетом потерь на оптике: 17108 Лм. (5000К)
Количество светодиодов: 200 шт.
Габаритные размеры без консоли (ДхШхВ): 1056х81х73 мм.
Масса: 7 кг</v>
      </c>
      <c r="D26" s="31">
        <v>14460</v>
      </c>
      <c r="E26" s="58">
        <v>200</v>
      </c>
    </row>
    <row r="27" spans="1:5" s="7" customFormat="1" ht="15" thickBot="1" x14ac:dyDescent="0.4">
      <c r="A27" s="121" t="s">
        <v>141</v>
      </c>
      <c r="B27" s="122"/>
      <c r="C27" s="122"/>
      <c r="D27" s="122"/>
      <c r="E27" s="60"/>
    </row>
    <row r="28" spans="1:5" s="7" customFormat="1" ht="107.25" customHeight="1" thickBot="1" x14ac:dyDescent="0.4">
      <c r="A28" s="114"/>
      <c r="B28" s="115"/>
      <c r="C28" s="115"/>
      <c r="D28" s="115"/>
      <c r="E28" s="60"/>
    </row>
    <row r="29" spans="1:5" s="7" customFormat="1" ht="15" thickBot="1" x14ac:dyDescent="0.4">
      <c r="A29" s="116" t="s">
        <v>13</v>
      </c>
      <c r="B29" s="117"/>
      <c r="C29" s="117"/>
      <c r="D29" s="117"/>
      <c r="E29" s="60"/>
    </row>
    <row r="30" spans="1:5" s="7" customFormat="1" ht="54" customHeight="1" thickBot="1" x14ac:dyDescent="0.4">
      <c r="A30" s="118" t="s">
        <v>51</v>
      </c>
      <c r="B30" s="119"/>
      <c r="C30" s="120"/>
      <c r="D30" s="120"/>
      <c r="E30" s="60"/>
    </row>
    <row r="31" spans="1:5" s="7" customFormat="1" ht="40.5" customHeight="1" thickBot="1" x14ac:dyDescent="0.4">
      <c r="A31" s="47" t="s">
        <v>11</v>
      </c>
      <c r="B31" s="48" t="s">
        <v>15</v>
      </c>
      <c r="C31" s="48" t="s">
        <v>12</v>
      </c>
      <c r="D31" s="36" t="s">
        <v>37</v>
      </c>
      <c r="E31" s="60"/>
    </row>
    <row r="32" spans="1:5" s="7" customFormat="1" ht="84.75" customHeight="1" thickBot="1" x14ac:dyDescent="0.4">
      <c r="A32" s="47">
        <v>1</v>
      </c>
      <c r="B32" s="67" t="s">
        <v>142</v>
      </c>
      <c r="C32" s="29" t="str">
        <f>"Потребление: от сети - 24 Вт., светодиодов - 22 Вт.
Световой поток: "&amp;E32*$E$5&amp;" Лм. (5000К)
Световой поток с учетом потерь на оптике: "&amp;ROUND((E32*$E$5)-((E32*$E$5)*$E$3/100),0)&amp;" Лм. (5000К)
Количество светодиодов: "&amp;E32&amp;" шт.
Габаритные размеры без консоли (ДхШхВ): 180х175х79 мм.
Масса: 1,4 кг"</f>
        <v>Потребление: от сети - 24 Вт., светодиодов - 22 Вт.
Световой поток: 3760 Лм. (5000К)
Световой поток с учетом потерь на оптике: 3422 Лм. (5000К)
Количество светодиодов: 40 шт.
Габаритные размеры без консоли (ДхШхВ): 180х175х79 мм.
Масса: 1,4 кг</v>
      </c>
      <c r="D32" s="31">
        <v>4630</v>
      </c>
      <c r="E32" s="58">
        <v>40</v>
      </c>
    </row>
    <row r="33" spans="1:5" s="7" customFormat="1" ht="81" customHeight="1" thickBot="1" x14ac:dyDescent="0.4">
      <c r="A33" s="27">
        <v>2</v>
      </c>
      <c r="B33" s="28" t="s">
        <v>143</v>
      </c>
      <c r="C33" s="29" t="str">
        <f>"Потребление: от сети - 50 Вт., светодиодов - 45 Вт.
Световой поток: "&amp;E33*$E$5&amp;" Лм. (5000К)
Световой поток с учетом потерь на оптике: "&amp;ROUND((E33*$E$5)-((E33*$E$5)*$E$3/100),0)&amp;" Лм. (5000К)
Количество светодиодов: "&amp;E33&amp;" шт.
Габаритные размеры без консоли (ДхШхВ): 330х175х79 мм.
Масса: 2,5 кг"</f>
        <v>Потребление: от сети - 50 Вт., светодиодов - 45 Вт.
Световой поток: 7520 Лм. (5000К)
Световой поток с учетом потерь на оптике: 6843 Лм. (5000К)
Количество светодиодов: 80 шт.
Габаритные размеры без консоли (ДхШхВ): 330х175х79 мм.
Масса: 2,5 кг</v>
      </c>
      <c r="D33" s="31">
        <v>7100</v>
      </c>
      <c r="E33" s="58">
        <v>80</v>
      </c>
    </row>
    <row r="34" spans="1:5" s="7" customFormat="1" ht="81" customHeight="1" thickBot="1" x14ac:dyDescent="0.4">
      <c r="A34" s="10">
        <v>3</v>
      </c>
      <c r="B34" s="67" t="s">
        <v>144</v>
      </c>
      <c r="C34" s="29" t="str">
        <f>"Потребление: от сети - 60 Вт., светодиодов - 55 Вт.
Световой поток: "&amp;E34*$E$5&amp;" Лм. (5000К)
Световой поток с учетом потерь на оптике: "&amp;ROUND((E34*$E$5)-((E34*$E$5)*$E$3/100),0)&amp;" Лм. (5000К)
Количество светодиодов: "&amp;E34&amp;" шт.
Габаритные размеры без консоли (ДхШхВ): 330х175х79 мм.
Масса: 2,5 кг"</f>
        <v>Потребление: от сети - 60 Вт., светодиодов - 55 Вт.
Световой поток: 9776 Лм. (5000К)
Световой поток с учетом потерь на оптике: 8896 Лм. (5000К)
Количество светодиодов: 104 шт.
Габаритные размеры без консоли (ДхШхВ): 330х175х79 мм.
Масса: 2,5 кг</v>
      </c>
      <c r="D34" s="31">
        <v>9360</v>
      </c>
      <c r="E34" s="58">
        <v>104</v>
      </c>
    </row>
    <row r="35" spans="1:5" s="7" customFormat="1" ht="81" customHeight="1" thickBot="1" x14ac:dyDescent="0.4">
      <c r="A35" s="13">
        <v>4</v>
      </c>
      <c r="B35" s="14" t="s">
        <v>145</v>
      </c>
      <c r="C35" s="15" t="str">
        <f>"Потребление: от сети - 75 Вт., светодиодов - 68 Вт.
Световой поток: "&amp;E35*$E$5&amp;" Лм. (5000К)
Световой поток с учетом потерь на оптике: "&amp;ROUND((E35*$E$5)-((E35*$E$5)*$E$3/100),0)&amp;" Лм. (5000К)
Количество светодиодов: "&amp;E35&amp;" шт.
Габаритные размеры без консоли (ДхШхВ): 430х175х79 мм.
Масса: 3 кг"</f>
        <v>Потребление: от сети - 75 Вт., светодиодов - 68 Вт.
Световой поток: 11280 Лм. (5000К)
Световой поток с учетом потерь на оптике: 10265 Лм. (5000К)
Количество светодиодов: 120 шт.
Габаритные размеры без консоли (ДхШхВ): 430х175х79 мм.
Масса: 3 кг</v>
      </c>
      <c r="D35" s="31">
        <v>10120</v>
      </c>
      <c r="E35" s="58">
        <v>120</v>
      </c>
    </row>
    <row r="36" spans="1:5" s="7" customFormat="1" ht="81" customHeight="1" thickBot="1" x14ac:dyDescent="0.4">
      <c r="A36" s="13">
        <v>5</v>
      </c>
      <c r="B36" s="14" t="s">
        <v>146</v>
      </c>
      <c r="C36" s="15" t="str">
        <f>"Потребление: от сети - 90 Вт., светодиодов - 82 Вт.
Световой поток: "&amp;E36*$E$5&amp;" Лм. (5000К)
Световой поток с учетом потерь на оптике: "&amp;ROUND((E36*$E$5)-((E36*$E$5)*$E$3/100),0)&amp;" Лм. (5000К)
Количество светодиодов: "&amp;E36&amp;" шт.
Габаритные размеры без консоли (ДхШхВ): 480х175х79 мм.
Масса: 3,3 кг"</f>
        <v>Потребление: от сети - 90 Вт., светодиодов - 82 Вт.
Световой поток: 14288 Лм. (5000К)
Световой поток с учетом потерь на оптике: 13002 Лм. (5000К)
Количество светодиодов: 152 шт.
Габаритные размеры без консоли (ДхШхВ): 480х175х79 мм.
Масса: 3,3 кг</v>
      </c>
      <c r="D36" s="31">
        <v>11560</v>
      </c>
      <c r="E36" s="58">
        <v>152</v>
      </c>
    </row>
    <row r="37" spans="1:5" s="7" customFormat="1" ht="81" customHeight="1" thickBot="1" x14ac:dyDescent="0.4">
      <c r="A37" s="13">
        <v>6</v>
      </c>
      <c r="B37" s="14" t="s">
        <v>147</v>
      </c>
      <c r="C37" s="15" t="str">
        <f>"Потребление: от сети - 100 Вт., светодиодов - 90 Вт.
Световой поток: "&amp;E37*$E$5&amp;" Лм. (5000К)
Световой поток с учетом потерь на оптике: "&amp;ROUND((E37*$E$5)-((E37*$E$5)*$E$3/100),0)&amp;" Лм. (5000К)
Количество светодиодов: "&amp;E37&amp;" шт.
Габаритные размеры без консоли (ДхШхВ): 590х175х79 мм.
Масса: 3,6 кг"</f>
        <v>Потребление: от сети - 100 Вт., светодиодов - 90 Вт.
Световой поток: 15040 Лм. (5000К)
Световой поток с учетом потерь на оптике: 13686 Лм. (5000К)
Количество светодиодов: 160 шт.
Габаритные размеры без консоли (ДхШхВ): 590х175х79 мм.
Масса: 3,6 кг</v>
      </c>
      <c r="D37" s="31">
        <v>12400</v>
      </c>
      <c r="E37" s="58">
        <v>160</v>
      </c>
    </row>
    <row r="38" spans="1:5" s="7" customFormat="1" ht="81" customHeight="1" thickBot="1" x14ac:dyDescent="0.4">
      <c r="A38" s="13">
        <v>7</v>
      </c>
      <c r="B38" s="14" t="s">
        <v>148</v>
      </c>
      <c r="C38" s="15" t="str">
        <f>"Потребление: от сети - 123 Вт., светодиодов - 112 Вт.
Световой поток: "&amp;E38*$E$5&amp;" Лм. (5000К)
Световой поток с учетом потерь на оптике: "&amp;ROUND((E38*$E$5)-((E38*$E$5)*$E$3/100),0)&amp;" Лм. (5000К)
Количество светодиодов: "&amp;E38&amp;" шт.
Габаритные размеры без консоли (ДхШхВ): 690х175х79 мм.
Масса: 4,6 кг"</f>
        <v>Потребление: от сети - 123 Вт., светодиодов - 112 Вт.
Световой поток: 18800 Лм. (5000К)
Световой поток с учетом потерь на оптике: 17108 Лм. (5000К)
Количество светодиодов: 200 шт.
Габаритные размеры без консоли (ДхШхВ): 690х175х79 мм.
Масса: 4,6 кг</v>
      </c>
      <c r="D38" s="31">
        <v>14370</v>
      </c>
      <c r="E38" s="58">
        <v>200</v>
      </c>
    </row>
    <row r="39" spans="1:5" s="7" customFormat="1" ht="81" customHeight="1" thickBot="1" x14ac:dyDescent="0.4">
      <c r="A39" s="13">
        <v>8</v>
      </c>
      <c r="B39" s="14" t="s">
        <v>149</v>
      </c>
      <c r="C39" s="15" t="str">
        <f>"Потребление: от сети - 146 Вт., светодиодов - 134 Вт.
Световой поток: "&amp;E39*$E$5&amp;" Лм. (5000К)
Световой поток с учетом потерь на оптике: "&amp;ROUND((E39*$E$5)-((E39*$E$5)*$E$3/100),0)&amp;" Лм. (5000К)
Количество светодиодов: "&amp;E39&amp;" шт.
Габаритные размеры без консоли (ДхШхВ): 790х175х79 мм.
Масса: 5,6 кг"</f>
        <v>Потребление: от сети - 146 Вт., светодиодов - 134 Вт.
Световой поток: 22560 Лм. (5000К)
Световой поток с учетом потерь на оптике: 20530 Лм. (5000К)
Количество светодиодов: 240 шт.
Габаритные размеры без консоли (ДхШхВ): 790х175х79 мм.
Масса: 5,6 кг</v>
      </c>
      <c r="D39" s="31">
        <v>17700</v>
      </c>
      <c r="E39" s="58">
        <v>240</v>
      </c>
    </row>
    <row r="40" spans="1:5" s="7" customFormat="1" ht="81" customHeight="1" thickBot="1" x14ac:dyDescent="0.4">
      <c r="A40" s="13">
        <v>9</v>
      </c>
      <c r="B40" s="14" t="s">
        <v>150</v>
      </c>
      <c r="C40" s="15" t="str">
        <f>"Потребление: от сети - 172 Вт., светодиодов - 155 Вт.
Световой поток: "&amp;E40*$E$5&amp;" Лм. (5000К)
Световой поток с учетом потерь на оптике: "&amp;ROUND((E40*$E$5)-((E40*$E$5)*$E$3/100),0)&amp;" Лм. (5000К)
Количество светодиодов: "&amp;E40&amp;" шт.
Габаритные размеры без консоли (ДхШхВ): 890х175х79 мм.
Масса: 6,6 кг"</f>
        <v>Потребление: от сети - 172 Вт., светодиодов - 155 Вт.
Световой поток: 26320 Лм. (5000К)
Световой поток с учетом потерь на оптике: 23951 Лм. (5000К)
Количество светодиодов: 280 шт.
Габаритные размеры без консоли (ДхШхВ): 890х175х79 мм.
Масса: 6,6 кг</v>
      </c>
      <c r="D40" s="31">
        <v>19360</v>
      </c>
      <c r="E40" s="58">
        <v>280</v>
      </c>
    </row>
    <row r="41" spans="1:5" s="7" customFormat="1" ht="81" customHeight="1" thickBot="1" x14ac:dyDescent="0.4">
      <c r="A41" s="13">
        <v>10</v>
      </c>
      <c r="B41" s="14" t="s">
        <v>151</v>
      </c>
      <c r="C41" s="15" t="str">
        <f>"Потребление: от сети - 196 Вт., светодиодов - 179 Вт.
Световой поток: "&amp;E41*$E$5&amp;" Лм. (5000К)
Световой поток с учетом потерь на оптике: "&amp;ROUND((E41*$E$5)-((E41*$E$5)*$E$3/100),0)&amp;" Лм. (5000К)
Количество светодиодов: "&amp;E41&amp;" шт.
Габаритные размеры без консоли (ДхШхВ): 990х175х79 мм.
Масса: 7,6 кг"</f>
        <v>Потребление: от сети - 196 Вт., светодиодов - 179 Вт.
Световой поток: 30080 Лм. (5000К)
Световой поток с учетом потерь на оптике: 27373 Лм. (5000К)
Количество светодиодов: 320 шт.
Габаритные размеры без консоли (ДхШхВ): 990х175х79 мм.
Масса: 7,6 кг</v>
      </c>
      <c r="D41" s="31">
        <v>22900</v>
      </c>
      <c r="E41" s="58">
        <v>320</v>
      </c>
    </row>
    <row r="42" spans="1:5" s="7" customFormat="1" ht="81" customHeight="1" thickBot="1" x14ac:dyDescent="0.4">
      <c r="A42" s="13">
        <v>11</v>
      </c>
      <c r="B42" s="14" t="s">
        <v>152</v>
      </c>
      <c r="C42" s="15" t="str">
        <f>"Потребление: от сети - 220 Вт., светодиодов - 200 Вт.
Световой поток: "&amp;E42*$E$5&amp;" Лм. (5000К)
Световой поток с учетом потерь на оптике: "&amp;ROUND((E42*$E$5)-((E42*$E$5)*$E$3/100),0)&amp;" Лм. (5000К)
Количество светодиодов: "&amp;E42&amp;" шт.
Габаритные размеры без консоли (ДхШхВ): 1090х175х79 мм.
Масса: 8,6 кг"</f>
        <v>Потребление: от сети - 220 Вт., светодиодов - 200 Вт.
Световой поток: 33840 Лм. (5000К)
Световой поток с учетом потерь на оптике: 30794 Лм. (5000К)
Количество светодиодов: 360 шт.
Габаритные размеры без консоли (ДхШхВ): 1090х175х79 мм.
Масса: 8,6 кг</v>
      </c>
      <c r="D42" s="31">
        <v>24370</v>
      </c>
      <c r="E42" s="58">
        <v>360</v>
      </c>
    </row>
    <row r="43" spans="1:5" s="7" customFormat="1" ht="78.5" thickBot="1" x14ac:dyDescent="0.4">
      <c r="A43" s="17">
        <v>12</v>
      </c>
      <c r="B43" s="18" t="s">
        <v>153</v>
      </c>
      <c r="C43" s="19" t="str">
        <f>"Потребление: от сети - 245 Вт., светодиодов - 223 Вт.
Световой поток: "&amp;E43*$E$5&amp;" Лм. (5000К)
Световой поток с учетом потерь на оптике: "&amp;ROUND((E43*$E$5)-((E43*$E$5)*$E$3/100),0)&amp;" Лм. (5000К)
Количество светодиодов: "&amp;E43&amp;" шт.
Габаритные размеры без консоли (ДхШхВ): 1190х175х79 мм.
Масса: 10 кг"</f>
        <v>Потребление: от сети - 245 Вт., светодиодов - 223 Вт.
Световой поток: 37600 Лм. (5000К)
Световой поток с учетом потерь на оптике: 34216 Лм. (5000К)
Количество светодиодов: 400 шт.
Габаритные размеры без консоли (ДхШхВ): 1190х175х79 мм.
Масса: 10 кг</v>
      </c>
      <c r="D43" s="31">
        <v>26020</v>
      </c>
      <c r="E43" s="62">
        <v>400</v>
      </c>
    </row>
    <row r="45" spans="1:5" x14ac:dyDescent="0.35">
      <c r="D45" s="65"/>
    </row>
  </sheetData>
  <mergeCells count="13">
    <mergeCell ref="C1:F1"/>
    <mergeCell ref="A13:D13"/>
    <mergeCell ref="A2:D2"/>
    <mergeCell ref="A3:D3"/>
    <mergeCell ref="A4:D4"/>
    <mergeCell ref="A5:D5"/>
    <mergeCell ref="A30:D30"/>
    <mergeCell ref="A14:D14"/>
    <mergeCell ref="A15:D15"/>
    <mergeCell ref="A16:D16"/>
    <mergeCell ref="A27:D27"/>
    <mergeCell ref="A28:D28"/>
    <mergeCell ref="A29:D2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85" fitToHeight="0" orientation="portrait" r:id="rId1"/>
  <rowBreaks count="1" manualBreakCount="1">
    <brk id="12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99"/>
    <pageSetUpPr fitToPage="1"/>
  </sheetPr>
  <dimension ref="A1:F31"/>
  <sheetViews>
    <sheetView zoomScale="70" zoomScaleNormal="70" zoomScaleSheetLayoutView="120" workbookViewId="0">
      <selection activeCell="C1" sqref="C1:F1"/>
    </sheetView>
  </sheetViews>
  <sheetFormatPr defaultColWidth="9.1796875" defaultRowHeight="23.5" x14ac:dyDescent="0.35"/>
  <cols>
    <col min="1" max="1" width="5.7265625" style="78" customWidth="1"/>
    <col min="2" max="2" width="18.7265625" style="4" customWidth="1"/>
    <col min="3" max="3" width="71" style="6" customWidth="1"/>
    <col min="4" max="4" width="21.08984375" style="5" customWidth="1"/>
    <col min="5" max="5" width="0.7265625" style="59" hidden="1" customWidth="1"/>
    <col min="6" max="16384" width="9.1796875" style="3"/>
  </cols>
  <sheetData>
    <row r="1" spans="1:6" s="7" customFormat="1" ht="98.5" customHeight="1" thickBot="1" x14ac:dyDescent="0.4">
      <c r="A1" s="69"/>
      <c r="C1" s="86" t="s">
        <v>296</v>
      </c>
      <c r="D1" s="86"/>
      <c r="E1" s="86"/>
      <c r="F1" s="86"/>
    </row>
    <row r="2" spans="1:6" s="7" customFormat="1" ht="15" thickBot="1" x14ac:dyDescent="0.4">
      <c r="A2" s="104" t="s">
        <v>154</v>
      </c>
      <c r="B2" s="105"/>
      <c r="C2" s="105"/>
      <c r="D2" s="105"/>
      <c r="E2" s="53" t="s">
        <v>45</v>
      </c>
    </row>
    <row r="3" spans="1:6" s="7" customFormat="1" ht="107.25" customHeight="1" thickBot="1" x14ac:dyDescent="0.4">
      <c r="A3" s="114"/>
      <c r="B3" s="115"/>
      <c r="C3" s="115"/>
      <c r="D3" s="115"/>
      <c r="E3" s="54">
        <v>14</v>
      </c>
    </row>
    <row r="4" spans="1:6" s="7" customFormat="1" ht="15" thickBot="1" x14ac:dyDescent="0.4">
      <c r="A4" s="116" t="s">
        <v>13</v>
      </c>
      <c r="B4" s="117"/>
      <c r="C4" s="117"/>
      <c r="D4" s="117"/>
      <c r="E4" s="55" t="s">
        <v>46</v>
      </c>
    </row>
    <row r="5" spans="1:6" s="7" customFormat="1" ht="58.5" customHeight="1" thickBot="1" x14ac:dyDescent="0.4">
      <c r="A5" s="118" t="s">
        <v>18</v>
      </c>
      <c r="B5" s="119"/>
      <c r="C5" s="120"/>
      <c r="D5" s="120"/>
      <c r="E5" s="56">
        <v>353</v>
      </c>
    </row>
    <row r="6" spans="1:6" s="7" customFormat="1" ht="40.5" customHeight="1" thickBot="1" x14ac:dyDescent="0.4">
      <c r="A6" s="76" t="s">
        <v>11</v>
      </c>
      <c r="B6" s="35" t="s">
        <v>15</v>
      </c>
      <c r="C6" s="35" t="s">
        <v>12</v>
      </c>
      <c r="D6" s="36" t="s">
        <v>37</v>
      </c>
      <c r="E6" s="57" t="s">
        <v>47</v>
      </c>
    </row>
    <row r="7" spans="1:6" s="7" customFormat="1" ht="81" customHeight="1" thickBot="1" x14ac:dyDescent="0.4">
      <c r="A7" s="66">
        <v>1</v>
      </c>
      <c r="B7" s="28" t="s">
        <v>155</v>
      </c>
      <c r="C7" s="29" t="str">
        <f>"Потребление: от сети - 12 Вт., светодиодов - 10 Вт.
Световой поток: "&amp;E7*$E$5&amp;" Лм. (5000К)
Световой поток с учетом потерь на оптике: "&amp;ROUND((E7*$E$5)-((E7*$E$5)*$E$3/100),0)&amp;" Лм. (5000К)
Количество светодиодов: "&amp;E7&amp;" шт.
Габаритные размеры без консоли (ДхШхВ):  216х81х73 мм.
Масса: 2 кг."</f>
        <v>Потребление: от сети - 12 Вт., светодиодов - 10 Вт.
Световой поток: 1765 Лм. (5000К)
Световой поток с учетом потерь на оптике: 1518 Лм. (5000К)
Количество светодиодов: 5 шт.
Габаритные размеры без консоли (ДхШхВ):  216х81х73 мм.
Масса: 2 кг.</v>
      </c>
      <c r="D7" s="30">
        <v>3480</v>
      </c>
      <c r="E7" s="58">
        <v>5</v>
      </c>
    </row>
    <row r="8" spans="1:6" s="7" customFormat="1" ht="81" customHeight="1" thickBot="1" x14ac:dyDescent="0.4">
      <c r="A8" s="70">
        <v>2</v>
      </c>
      <c r="B8" s="14" t="s">
        <v>156</v>
      </c>
      <c r="C8" s="15" t="str">
        <f>"Потребление: от сети - 25 Вт., светодиодов - 23 Вт.
Световой поток: "&amp;E8*$E$5&amp;" Лм. (5000К)
Световой поток с учетом потерь на оптике: "&amp;ROUND((E8*$E$5)-((E8*$E$5)*$E$3/100),0)&amp;" Лм. (5000К)
Количество светодиодов: "&amp;E8&amp;" шт.
Габаритные размеры без консоли (ДхШхВ): 266х81х73 мм.
Масса: 2,5 кг."</f>
        <v>Потребление: от сети - 25 Вт., светодиодов - 23 Вт.
Световой поток: 3530 Лм. (5000К)
Световой поток с учетом потерь на оптике: 3036 Лм. (5000К)
Количество светодиодов: 10 шт.
Габаритные размеры без консоли (ДхШхВ): 266х81х73 мм.
Масса: 2,5 кг.</v>
      </c>
      <c r="D8" s="30">
        <v>5200</v>
      </c>
      <c r="E8" s="58">
        <v>10</v>
      </c>
    </row>
    <row r="9" spans="1:6" s="7" customFormat="1" ht="81" customHeight="1" thickBot="1" x14ac:dyDescent="0.4">
      <c r="A9" s="70">
        <v>3</v>
      </c>
      <c r="B9" s="14" t="s">
        <v>157</v>
      </c>
      <c r="C9" s="15" t="str">
        <f>"Потребление: от сети - 35 Вт., светодиодов - 32 Вт.
Световой поток: "&amp;E9*$E$5&amp;" Лм. (5000К)
Световой поток с учетом потерь на оптике: "&amp;ROUND((E9*$E$5)-((E9*$E$5)*$E$3/100),0)&amp;" Лм. (5000К)
Количество светодиодов: "&amp;E9&amp;" шт.
Габаритные размеры без консоли (ДхШхВ): 356х81х73 мм.
Масса: 3 кг."</f>
        <v>Потребление: от сети - 35 Вт., светодиодов - 32 Вт.
Световой поток: 5295 Лм. (5000К)
Световой поток с учетом потерь на оптике: 4554 Лм. (5000К)
Количество светодиодов: 15 шт.
Габаритные размеры без консоли (ДхШхВ): 356х81х73 мм.
Масса: 3 кг.</v>
      </c>
      <c r="D9" s="30">
        <v>6680</v>
      </c>
      <c r="E9" s="58">
        <v>15</v>
      </c>
    </row>
    <row r="10" spans="1:6" s="7" customFormat="1" ht="81" customHeight="1" thickBot="1" x14ac:dyDescent="0.4">
      <c r="A10" s="70">
        <v>4</v>
      </c>
      <c r="B10" s="14" t="s">
        <v>158</v>
      </c>
      <c r="C10" s="15" t="str">
        <f>"Потребление: от сети - 50 Вт., светодиодов - 44 Вт.
Световой поток: "&amp;E10*$E$5&amp;" Лм. (5000К)
Световой поток с учетом потерь на оптике: "&amp;ROUND((E10*$E$5)-((E10*$E$5)*$E$3/100),0)&amp;" Лм. (5000К)
Количество светодиодов: "&amp;E10&amp;" шт.
Габаритные размеры без консоли (ДхШхВ): 456х81х73 мм.
Масса: 3,5 кг."</f>
        <v>Потребление: от сети - 50 Вт., светодиодов - 44 Вт.
Световой поток: 7060 Лм. (5000К)
Световой поток с учетом потерь на оптике: 6072 Лм. (5000К)
Количество светодиодов: 20 шт.
Габаритные размеры без консоли (ДхШхВ): 456х81х73 мм.
Масса: 3,5 кг.</v>
      </c>
      <c r="D10" s="30">
        <v>8330</v>
      </c>
      <c r="E10" s="58">
        <v>20</v>
      </c>
    </row>
    <row r="11" spans="1:6" s="7" customFormat="1" ht="81" customHeight="1" thickBot="1" x14ac:dyDescent="0.4">
      <c r="A11" s="70">
        <v>5</v>
      </c>
      <c r="B11" s="14" t="s">
        <v>159</v>
      </c>
      <c r="C11" s="15" t="str">
        <f>"Потребление: от сети - 60 Вт., светодиодов - 56 Вт.
Световой поток: "&amp;E11*$E$5&amp;" Лм. (5000К)
Световой поток с учетом потерь на оптике: "&amp;ROUND((E11*$E$5)-((E11*$E$5)*$E$3/100),0)&amp;" Лм. (5000К)
Количество светодиодов: "&amp;E11&amp;" шт.
Габаритные размеры без консоли (ДхШхВ): 556х81х73 мм.
Масса: 4 кг."</f>
        <v>Потребление: от сети - 60 Вт., светодиодов - 56 Вт.
Световой поток: 8825 Лм. (5000К)
Световой поток с учетом потерь на оптике: 7590 Лм. (5000К)
Количество светодиодов: 25 шт.
Габаритные размеры без консоли (ДхШхВ): 556х81х73 мм.
Масса: 4 кг.</v>
      </c>
      <c r="D11" s="30">
        <v>10630</v>
      </c>
      <c r="E11" s="58">
        <v>25</v>
      </c>
    </row>
    <row r="12" spans="1:6" s="7" customFormat="1" ht="81" customHeight="1" thickBot="1" x14ac:dyDescent="0.4">
      <c r="A12" s="70">
        <v>6</v>
      </c>
      <c r="B12" s="14" t="s">
        <v>160</v>
      </c>
      <c r="C12" s="15" t="str">
        <f>"Потребление: от сети - 72 Вт., светодиодов - 65 Вт.
Световой поток: "&amp;E12*$E$5&amp;" Лм. (5000К)
Световой поток с учетом потерь на оптике: "&amp;ROUND((E12*$E$5)-((E12*$E$5)*$E$3/100),0)&amp;" Лм. (5000К)
Количество светодиодов: "&amp;E12&amp;" шт.
Габаритные размеры без консоли (ДхШхВ): 656х81х73 мм.
Масса: 4,5 кг."</f>
        <v>Потребление: от сети - 72 Вт., светодиодов - 65 Вт.
Световой поток: 10590 Лм. (5000К)
Световой поток с учетом потерь на оптике: 9107 Лм. (5000К)
Количество светодиодов: 30 шт.
Габаритные размеры без консоли (ДхШхВ): 656х81х73 мм.
Масса: 4,5 кг.</v>
      </c>
      <c r="D12" s="30">
        <v>12920</v>
      </c>
      <c r="E12" s="58">
        <v>30</v>
      </c>
    </row>
    <row r="13" spans="1:6" s="7" customFormat="1" ht="81" customHeight="1" thickBot="1" x14ac:dyDescent="0.4">
      <c r="A13" s="70">
        <v>7</v>
      </c>
      <c r="B13" s="14" t="s">
        <v>161</v>
      </c>
      <c r="C13" s="15" t="str">
        <f>"Потребление: от сети - 84 Вт., светодиодов - 76 Вт.
Световой поток: "&amp;E13*$E$5&amp;" Лм. (5000К)
Световой поток с учетом потерь на оптике: "&amp;ROUND((E13*$E$5)-((E13*$E$5)*$E$3/100),0)&amp;" Лм. (5000К)
Количество светодиодов: "&amp;E13&amp;" шт.
Габаритные размеры без консоли (ДхШхВ): 756х81х73 мм.
Масса: 5 кг."</f>
        <v>Потребление: от сети - 84 Вт., светодиодов - 76 Вт.
Световой поток: 12355 Лм. (5000К)
Световой поток с учетом потерь на оптике: 10625 Лм. (5000К)
Количество светодиодов: 35 шт.
Габаритные размеры без консоли (ДхШхВ): 756х81х73 мм.
Масса: 5 кг.</v>
      </c>
      <c r="D13" s="30">
        <v>13530</v>
      </c>
      <c r="E13" s="58">
        <v>35</v>
      </c>
    </row>
    <row r="14" spans="1:6" s="7" customFormat="1" ht="81" customHeight="1" thickBot="1" x14ac:dyDescent="0.4">
      <c r="A14" s="70">
        <v>8</v>
      </c>
      <c r="B14" s="14" t="s">
        <v>162</v>
      </c>
      <c r="C14" s="15" t="str">
        <f>"Потребление: от сети - 96 Вт., светодиодов - 87 Вт.
Световой поток: "&amp;E14*$E$5&amp;" Лм. (5000К)
Световой поток с учетом потерь на оптике: "&amp;ROUND((E14*$E$5)-((E14*$E$5)*$E$3/100),0)&amp;" Лм. (5000К)
Количество светодиодов: "&amp;E14&amp;" шт.
Габаритные размеры без консоли (ДхШхВ): 856х81х73 мм.
Масса: 6 кг."</f>
        <v>Потребление: от сети - 96 Вт., светодиодов - 87 Вт.
Световой поток: 14120 Лм. (5000К)
Световой поток с учетом потерь на оптике: 12143 Лм. (5000К)
Количество светодиодов: 40 шт.
Габаритные размеры без консоли (ДхШхВ): 856х81х73 мм.
Масса: 6 кг.</v>
      </c>
      <c r="D14" s="30">
        <v>14270</v>
      </c>
      <c r="E14" s="58">
        <v>40</v>
      </c>
    </row>
    <row r="15" spans="1:6" s="7" customFormat="1" ht="81" customHeight="1" thickBot="1" x14ac:dyDescent="0.4">
      <c r="A15" s="70">
        <v>9</v>
      </c>
      <c r="B15" s="14" t="s">
        <v>163</v>
      </c>
      <c r="C15" s="15" t="str">
        <f>"Потребление: от сети - 108 Вт., светодиодов - 98 Вт.
Световой поток: "&amp;E15*$E$5&amp;" Лм. (5000К)
Световой поток с учетом потерь на оптике: "&amp;ROUND((E15*$E$5)-((E15*$E$5)*$E$3/100),0)&amp;" Лм. (5000К)
Количество светодиодов: "&amp;E15&amp;" шт.
Габаритные размеры без консоли (ДхШхВ): 856х81х73 мм.
Масса: 6,5 кг."</f>
        <v>Потребление: от сети - 108 Вт., светодиодов - 98 Вт.
Световой поток: 15885 Лм. (5000К)
Световой поток с учетом потерь на оптике: 13661 Лм. (5000К)
Количество светодиодов: 45 шт.
Габаритные размеры без консоли (ДхШхВ): 856х81х73 мм.
Масса: 6,5 кг.</v>
      </c>
      <c r="D15" s="30">
        <v>16040</v>
      </c>
      <c r="E15" s="58">
        <v>45</v>
      </c>
    </row>
    <row r="16" spans="1:6" s="7" customFormat="1" ht="81" customHeight="1" thickBot="1" x14ac:dyDescent="0.4">
      <c r="A16" s="77">
        <v>10</v>
      </c>
      <c r="B16" s="18" t="s">
        <v>164</v>
      </c>
      <c r="C16" s="19" t="str">
        <f>"Потребление: от сети - 120 Вт., светодиодов - 109 Вт.
Световой поток: "&amp;E16*$E$5&amp;" Лм. (5000К)
Световой поток с учетом потерь на оптике: "&amp;ROUND((E16*$E$5)-((E16*$E$5)*$E$3/100),0)&amp;" Лм. (5000К)
Количество светодиодов: "&amp;E16&amp;" шт.
Габаритные размеры без консоли (ДхШхВ): 1056х81х73 мм.
Масса: 7 кг."</f>
        <v>Потребление: от сети - 120 Вт., светодиодов - 109 Вт.
Световой поток: 17650 Лм. (5000К)
Световой поток с учетом потерь на оптике: 15179 Лм. (5000К)
Количество светодиодов: 50 шт.
Габаритные размеры без консоли (ДхШхВ): 1056х81х73 мм.
Масса: 7 кг.</v>
      </c>
      <c r="D16" s="30">
        <v>17090</v>
      </c>
      <c r="E16" s="58">
        <v>50</v>
      </c>
    </row>
    <row r="17" spans="1:5" s="7" customFormat="1" ht="15.75" customHeight="1" thickBot="1" x14ac:dyDescent="0.4">
      <c r="A17" s="121" t="s">
        <v>165</v>
      </c>
      <c r="B17" s="122"/>
      <c r="C17" s="122"/>
      <c r="D17" s="122"/>
      <c r="E17" s="58"/>
    </row>
    <row r="18" spans="1:5" s="7" customFormat="1" ht="107.25" customHeight="1" thickBot="1" x14ac:dyDescent="0.4">
      <c r="A18" s="114"/>
      <c r="B18" s="115"/>
      <c r="C18" s="115"/>
      <c r="D18" s="115"/>
      <c r="E18" s="58"/>
    </row>
    <row r="19" spans="1:5" s="7" customFormat="1" ht="15.75" customHeight="1" thickBot="1" x14ac:dyDescent="0.4">
      <c r="A19" s="116" t="s">
        <v>13</v>
      </c>
      <c r="B19" s="117"/>
      <c r="C19" s="117"/>
      <c r="D19" s="117"/>
      <c r="E19" s="58"/>
    </row>
    <row r="20" spans="1:5" s="7" customFormat="1" ht="58.5" customHeight="1" thickBot="1" x14ac:dyDescent="0.4">
      <c r="A20" s="118" t="s">
        <v>19</v>
      </c>
      <c r="B20" s="119"/>
      <c r="C20" s="120"/>
      <c r="D20" s="120"/>
      <c r="E20" s="58"/>
    </row>
    <row r="21" spans="1:5" s="7" customFormat="1" ht="40.5" customHeight="1" thickBot="1" x14ac:dyDescent="0.4">
      <c r="A21" s="75" t="s">
        <v>11</v>
      </c>
      <c r="B21" s="48" t="s">
        <v>15</v>
      </c>
      <c r="C21" s="48" t="s">
        <v>12</v>
      </c>
      <c r="D21" s="36" t="s">
        <v>37</v>
      </c>
      <c r="E21" s="58"/>
    </row>
    <row r="22" spans="1:5" s="7" customFormat="1" ht="99" customHeight="1" thickBot="1" x14ac:dyDescent="0.4">
      <c r="A22" s="81">
        <v>1</v>
      </c>
      <c r="B22" s="67" t="s">
        <v>166</v>
      </c>
      <c r="C22" s="29" t="str">
        <f>"Потребление: от сети - 25 Вт., светодиодов - 23 Вт.
Световой поток: "&amp;E22*$E$5&amp;" Лм. (5000К)
Световой поток с учетом потерь на оптике: "&amp;ROUND((E22*$E$5)-((E22*$E$5)*$E$3/100),0)&amp;" Лм. (5000К)
Количество светодиодов: "&amp;E22&amp;" шт.
Габаритные размеры без консоли (ДхШхВ):        х175х79 мм.
Масса:        кг."</f>
        <v>Потребление: от сети - 25 Вт., светодиодов - 23 Вт.
Световой поток: 3530 Лм. (5000К)
Световой поток с учетом потерь на оптике: 3036 Лм. (5000К)
Количество светодиодов: 10 шт.
Габаритные размеры без консоли (ДхШхВ):        х175х79 мм.
Масса:        кг.</v>
      </c>
      <c r="D22" s="30">
        <v>4860</v>
      </c>
      <c r="E22" s="58">
        <v>10</v>
      </c>
    </row>
    <row r="23" spans="1:5" s="7" customFormat="1" ht="81" customHeight="1" thickBot="1" x14ac:dyDescent="0.4">
      <c r="A23" s="66">
        <v>2</v>
      </c>
      <c r="B23" s="28" t="s">
        <v>167</v>
      </c>
      <c r="C23" s="29" t="str">
        <f>"Потребление: от сети - 50 Вт., светодиодов - 44Вт.
Световой поток: "&amp;E23*$E$5&amp;" Лм. (5000К)
Световой поток с учетом потерь на оптике: "&amp;ROUND((E23*$E$5)-((E23*$E$5)*$E$3/100),0)&amp;" Лм. (5000К)
Количество светодиодов: "&amp;E23&amp;" шт.
Габаритные размеры без консоли (ДхШхВ): 330х175х79 мм.
Масса: 2,5 кг."</f>
        <v>Потребление: от сети - 50 Вт., светодиодов - 44Вт.
Световой поток: 7060 Лм. (5000К)
Световой поток с учетом потерь на оптике: 6072 Лм. (5000К)
Количество светодиодов: 20 шт.
Габаритные размеры без консоли (ДхШхВ): 330х175х79 мм.
Масса: 2,5 кг.</v>
      </c>
      <c r="D23" s="30">
        <v>8550</v>
      </c>
      <c r="E23" s="58">
        <v>20</v>
      </c>
    </row>
    <row r="24" spans="1:5" s="7" customFormat="1" ht="81" customHeight="1" thickBot="1" x14ac:dyDescent="0.4">
      <c r="A24" s="70">
        <v>3</v>
      </c>
      <c r="B24" s="14" t="s">
        <v>168</v>
      </c>
      <c r="C24" s="15" t="str">
        <f>"Потребление: от сети - 75 Вт., светодиодов - 65 Вт.
Световой поток: "&amp;E24*$E$5&amp;" Лм. (5000К)
Световой поток с учетом потерь на оптике: "&amp;ROUND((E24*$E$5)-((E24*$E$5)*$E$3/100),0)&amp;" Лм. (5000К)
Количество светодиодов: "&amp;E24&amp;" шт.
Габаритные размеры без консоли (ДхШхВ): 430х175х79 мм.
Масса: 3 кг."</f>
        <v>Потребление: от сети - 75 Вт., светодиодов - 65 Вт.
Световой поток: 10590 Лм. (5000К)
Световой поток с учетом потерь на оптике: 9107 Лм. (5000К)
Количество светодиодов: 30 шт.
Габаритные размеры без консоли (ДхШхВ): 430х175х79 мм.
Масса: 3 кг.</v>
      </c>
      <c r="D24" s="30">
        <v>13530</v>
      </c>
      <c r="E24" s="58">
        <v>30</v>
      </c>
    </row>
    <row r="25" spans="1:5" s="7" customFormat="1" ht="81" customHeight="1" thickBot="1" x14ac:dyDescent="0.4">
      <c r="A25" s="81">
        <v>4</v>
      </c>
      <c r="B25" s="14" t="s">
        <v>169</v>
      </c>
      <c r="C25" s="15" t="str">
        <f>"Потребление: от сети - 96 Вт., светодиодов - 87 Вт.
Световой поток: "&amp;E25*$E$5&amp;" Лм. (5000К)
Световой поток с учетом потерь на оптике: "&amp;ROUND((E25*$E$5)-((E25*$E$5)*$E$3/100),0)&amp;" Лм. (5000К)
Количество светодиодов: "&amp;E25&amp;" шт.
Габаритные размеры без консоли (ДхШхВ): 590х175х79 мм.
Масса: 3,6 кг."</f>
        <v>Потребление: от сети - 96 Вт., светодиодов - 87 Вт.
Световой поток: 14120 Лм. (5000К)
Световой поток с учетом потерь на оптике: 12143 Лм. (5000К)
Количество светодиодов: 40 шт.
Габаритные размеры без консоли (ДхШхВ): 590х175х79 мм.
Масса: 3,6 кг.</v>
      </c>
      <c r="D25" s="30">
        <v>15830</v>
      </c>
      <c r="E25" s="58">
        <v>40</v>
      </c>
    </row>
    <row r="26" spans="1:5" s="7" customFormat="1" ht="81" customHeight="1" thickBot="1" x14ac:dyDescent="0.4">
      <c r="A26" s="66">
        <v>5</v>
      </c>
      <c r="B26" s="14" t="s">
        <v>170</v>
      </c>
      <c r="C26" s="15" t="str">
        <f>"Потребление: от сети - 120 Вт., светодиодов - 109 Вт.
Световой поток: "&amp;E26*$E$5&amp;" Лм. (5000К)
Световой поток с учетом потерь на оптике: "&amp;ROUND((E26*$E$5)-((E26*$E$5)*$E$3/100),0)&amp;" Лм. (5000К)
Количество светодиодов: "&amp;E26&amp;" шт.
Габаритные размеры без консоли (ДхШхВ): 690х175х79 мм.
Масса: 4,6 кг."</f>
        <v>Потребление: от сети - 120 Вт., светодиодов - 109 Вт.
Световой поток: 17650 Лм. (5000К)
Световой поток с учетом потерь на оптике: 15179 Лм. (5000К)
Количество светодиодов: 50 шт.
Габаритные размеры без консоли (ДхШхВ): 690х175х79 мм.
Масса: 4,6 кг.</v>
      </c>
      <c r="D26" s="30">
        <v>18330</v>
      </c>
      <c r="E26" s="58">
        <v>50</v>
      </c>
    </row>
    <row r="27" spans="1:5" s="7" customFormat="1" ht="81" customHeight="1" thickBot="1" x14ac:dyDescent="0.4">
      <c r="A27" s="70">
        <v>6</v>
      </c>
      <c r="B27" s="14" t="s">
        <v>171</v>
      </c>
      <c r="C27" s="15" t="str">
        <f>"Потребление: от сети - 143 Вт., светодиодов - 130 Вт.
Световой поток: "&amp;E27*$E$5&amp;" Лм. (5000К)
Световой поток с учетом потерь на оптике: "&amp;ROUND((E27*$E$5)-((E27*$E$5)*$E$3/100),0)&amp;" Лм. (5000К)
Количество светодиодов: "&amp;E27&amp;" шт.
Габаритные размеры без консоли (ДхШхВ): 790х175х79 мм.
Масса: 5,6 кг."</f>
        <v>Потребление: от сети - 143 Вт., светодиодов - 130 Вт.
Световой поток: 21180 Лм. (5000К)
Световой поток с учетом потерь на оптике: 18215 Лм. (5000К)
Количество светодиодов: 60 шт.
Габаритные размеры без консоли (ДхШхВ): 790х175х79 мм.
Масса: 5,6 кг.</v>
      </c>
      <c r="D27" s="30">
        <v>22070</v>
      </c>
      <c r="E27" s="58">
        <v>60</v>
      </c>
    </row>
    <row r="28" spans="1:5" s="7" customFormat="1" ht="81" customHeight="1" thickBot="1" x14ac:dyDescent="0.4">
      <c r="A28" s="81">
        <v>7</v>
      </c>
      <c r="B28" s="16" t="s">
        <v>172</v>
      </c>
      <c r="C28" s="15" t="str">
        <f>"Потребление: от сети - 165 Вт., светодиодов - 152 Вт.
Световой поток: "&amp;E28*$E$5&amp;" Лм. (5000К)
Световой поток с учетом потерь на оптике: "&amp;ROUND((E28*$E$5)-((E28*$E$5)*$E$3/100),0)&amp;" Лм. (5000К)
Количество светодиодов: "&amp;E28&amp;" шт.
Габаритные размеры без консоли (ДхШхВ): 890х175х79 мм.
Масса: 6,6 кг."</f>
        <v>Потребление: от сети - 165 Вт., светодиодов - 152 Вт.
Световой поток: 24710 Лм. (5000К)
Световой поток с учетом потерь на оптике: 21251 Лм. (5000К)
Количество светодиодов: 70 шт.
Габаритные размеры без консоли (ДхШхВ): 890х175х79 мм.
Масса: 6,6 кг.</v>
      </c>
      <c r="D28" s="30">
        <v>24770</v>
      </c>
      <c r="E28" s="58">
        <v>70</v>
      </c>
    </row>
    <row r="29" spans="1:5" s="7" customFormat="1" ht="81" customHeight="1" thickBot="1" x14ac:dyDescent="0.4">
      <c r="A29" s="66">
        <v>8</v>
      </c>
      <c r="B29" s="16" t="s">
        <v>173</v>
      </c>
      <c r="C29" s="15" t="str">
        <f>"Потребление: от сети - 190 Вт., светодиодов - 175 Вт.
Световой поток: "&amp;E29*$E$5&amp;" Лм. (5000К)
Световой поток с учетом потерь на оптике: "&amp;ROUND((E29*$E$5)-((E29*$E$5)*$E$3/100),0)&amp;" Лм. (5000К)
Количество светодиодов: "&amp;E29&amp;" шт.
Габаритные размеры без консоли (ДхШхВ): 990х175х79 мм.
Масса: 7,6 кг."</f>
        <v>Потребление: от сети - 190 Вт., светодиодов - 175 Вт.
Световой поток: 28240 Лм. (5000К)
Световой поток с учетом потерь на оптике: 24286 Лм. (5000К)
Количество светодиодов: 80 шт.
Габаритные размеры без консоли (ДхШхВ): 990х175х79 мм.
Масса: 7,6 кг.</v>
      </c>
      <c r="D29" s="30">
        <v>26850</v>
      </c>
      <c r="E29" s="58">
        <v>80</v>
      </c>
    </row>
    <row r="30" spans="1:5" s="7" customFormat="1" ht="81" customHeight="1" thickBot="1" x14ac:dyDescent="0.4">
      <c r="A30" s="82">
        <v>9</v>
      </c>
      <c r="B30" s="83" t="s">
        <v>174</v>
      </c>
      <c r="C30" s="84" t="str">
        <f>"Потребление: от сети - 213 Вт., светодиодов - 195 Вт.
Световой поток: "&amp;E30*$E$5&amp;" Лм. (5000К)
Световой поток с учетом потерь на оптике: "&amp;ROUND((E30*$E$5)-((E30*$E$5)*$E$3/100),0)&amp;" Лм. (5000К)
Количество светодиодов: "&amp;E30&amp;" шт.
Габаритные размеры без консоли (ДхШхВ): 1090х175х79 мм.
Масса: 8,6 кг."</f>
        <v>Потребление: от сети - 213 Вт., светодиодов - 195 Вт.
Световой поток: 31770 Лм. (5000К)
Световой поток с учетом потерь на оптике: 27322 Лм. (5000К)
Количество светодиодов: 90 шт.
Габаритные размеры без консоли (ДхШхВ): 1090х175х79 мм.
Масса: 8,6 кг.</v>
      </c>
      <c r="D30" s="30">
        <v>29140</v>
      </c>
      <c r="E30" s="58">
        <v>90</v>
      </c>
    </row>
    <row r="31" spans="1:5" s="7" customFormat="1" ht="81" customHeight="1" thickBot="1" x14ac:dyDescent="0.4">
      <c r="A31" s="85">
        <v>10</v>
      </c>
      <c r="B31" s="16" t="s">
        <v>175</v>
      </c>
      <c r="C31" s="15" t="str">
        <f>"Потребление: от сети - 235 Вт., светодиодов - 217 Вт.
Световой поток: "&amp;E31*$E$5&amp;" Лм. (5000К)
Световой поток с учетом потерь на оптике: "&amp;ROUND((E31*$E$5)-((E31*$E$5)*$E$3/100),0)&amp;" Лм. (5000К)
Количество светодиодов: "&amp;E31&amp;" шт.
Габаритные размеры без консоли (ДхШхВ): 1190х175х79 мм.
Масса: 10 кг."</f>
        <v>Потребление: от сети - 235 Вт., светодиодов - 217 Вт.
Световой поток: 35300 Лм. (5000К)
Световой поток с учетом потерь на оптике: 30358 Лм. (5000К)
Количество светодиодов: 100 шт.
Габаритные размеры без консоли (ДхШхВ): 1190х175х79 мм.
Масса: 10 кг.</v>
      </c>
      <c r="D31" s="30">
        <v>33310</v>
      </c>
      <c r="E31" s="62">
        <v>100</v>
      </c>
    </row>
  </sheetData>
  <mergeCells count="9">
    <mergeCell ref="C1:F1"/>
    <mergeCell ref="A18:D18"/>
    <mergeCell ref="A19:D19"/>
    <mergeCell ref="A20:D20"/>
    <mergeCell ref="A2:D2"/>
    <mergeCell ref="A3:D3"/>
    <mergeCell ref="A4:D4"/>
    <mergeCell ref="A5:D5"/>
    <mergeCell ref="A17:D1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84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00"/>
    <pageSetUpPr fitToPage="1"/>
  </sheetPr>
  <dimension ref="A1:F34"/>
  <sheetViews>
    <sheetView zoomScale="70" zoomScaleNormal="70" zoomScaleSheetLayoutView="120" workbookViewId="0">
      <selection activeCell="C1" sqref="C1:F1"/>
    </sheetView>
  </sheetViews>
  <sheetFormatPr defaultColWidth="9.1796875" defaultRowHeight="23.5" x14ac:dyDescent="0.35"/>
  <cols>
    <col min="1" max="1" width="5.7265625" style="3" customWidth="1"/>
    <col min="2" max="2" width="18.7265625" style="4" customWidth="1"/>
    <col min="3" max="3" width="66.453125" style="6" customWidth="1"/>
    <col min="4" max="4" width="27" style="5" customWidth="1"/>
    <col min="5" max="5" width="17.453125" style="59" hidden="1" customWidth="1"/>
    <col min="6" max="16384" width="9.1796875" style="3"/>
  </cols>
  <sheetData>
    <row r="1" spans="1:6" s="7" customFormat="1" ht="97.5" customHeight="1" thickBot="1" x14ac:dyDescent="0.4">
      <c r="C1" s="86" t="s">
        <v>296</v>
      </c>
      <c r="D1" s="86"/>
      <c r="E1" s="86"/>
      <c r="F1" s="86"/>
    </row>
    <row r="2" spans="1:6" s="7" customFormat="1" ht="23" hidden="1" customHeight="1" thickBot="1" x14ac:dyDescent="0.4">
      <c r="E2" s="54">
        <v>10</v>
      </c>
    </row>
    <row r="3" spans="1:6" s="7" customFormat="1" ht="15" thickBot="1" x14ac:dyDescent="0.4">
      <c r="A3" s="104" t="s">
        <v>176</v>
      </c>
      <c r="B3" s="105"/>
      <c r="C3" s="105"/>
      <c r="D3" s="105"/>
      <c r="E3" s="53" t="s">
        <v>45</v>
      </c>
    </row>
    <row r="4" spans="1:6" s="7" customFormat="1" ht="107.25" customHeight="1" thickBot="1" x14ac:dyDescent="0.4">
      <c r="A4" s="114"/>
      <c r="B4" s="115"/>
      <c r="C4" s="115"/>
      <c r="D4" s="115"/>
      <c r="E4" s="54">
        <v>5.4</v>
      </c>
    </row>
    <row r="5" spans="1:6" s="7" customFormat="1" ht="107.25" customHeight="1" thickBot="1" x14ac:dyDescent="0.4">
      <c r="A5" s="114"/>
      <c r="B5" s="115"/>
      <c r="C5" s="115"/>
      <c r="D5" s="115"/>
      <c r="E5" s="55" t="s">
        <v>46</v>
      </c>
    </row>
    <row r="6" spans="1:6" s="7" customFormat="1" ht="15" thickBot="1" x14ac:dyDescent="0.4">
      <c r="A6" s="116" t="s">
        <v>13</v>
      </c>
      <c r="B6" s="117"/>
      <c r="C6" s="117"/>
      <c r="D6" s="117"/>
      <c r="E6" s="56">
        <v>94</v>
      </c>
    </row>
    <row r="7" spans="1:6" s="7" customFormat="1" ht="54" customHeight="1" thickBot="1" x14ac:dyDescent="0.4">
      <c r="A7" s="118" t="s">
        <v>43</v>
      </c>
      <c r="B7" s="119"/>
      <c r="C7" s="120"/>
      <c r="D7" s="120"/>
      <c r="E7" s="80"/>
    </row>
    <row r="8" spans="1:6" s="7" customFormat="1" ht="40.5" customHeight="1" thickBot="1" x14ac:dyDescent="0.4">
      <c r="A8" s="34" t="s">
        <v>11</v>
      </c>
      <c r="B8" s="35" t="s">
        <v>15</v>
      </c>
      <c r="C8" s="35" t="s">
        <v>12</v>
      </c>
      <c r="D8" s="36" t="s">
        <v>37</v>
      </c>
      <c r="E8" s="57" t="s">
        <v>47</v>
      </c>
    </row>
    <row r="9" spans="1:6" s="7" customFormat="1" ht="81" customHeight="1" thickBot="1" x14ac:dyDescent="0.4">
      <c r="A9" s="27">
        <v>1</v>
      </c>
      <c r="B9" s="32" t="s">
        <v>177</v>
      </c>
      <c r="C9" s="29" t="str">
        <f>"Потребление: от сети - 12 Вт.
Световой поток: "&amp;E9*$E$6&amp;" Лм. (5000К)
Световой поток с учетом потерь на оптике: "&amp;ROUND((E9*$E$6)-((E9*$E$6)*$E$4/100),0)&amp;" Лм. (5000К)
Количество светодиодов: "&amp;E9&amp;" шт.
Габаритные размеры (ДхШхВ): 240х66х70 мм.
Масса: 0,5 кг"</f>
        <v>Потребление: от сети - 12 Вт.
Световой поток: 1880 Лм. (5000К)
Световой поток с учетом потерь на оптике: 1778 Лм. (5000К)
Количество светодиодов: 20 шт.
Габаритные размеры (ДхШхВ): 240х66х70 мм.
Масса: 0,5 кг</v>
      </c>
      <c r="D9" s="30">
        <v>2350</v>
      </c>
      <c r="E9" s="58">
        <v>20</v>
      </c>
    </row>
    <row r="10" spans="1:6" s="7" customFormat="1" ht="81" customHeight="1" thickBot="1" x14ac:dyDescent="0.4">
      <c r="A10" s="13">
        <v>2</v>
      </c>
      <c r="B10" s="16" t="s">
        <v>178</v>
      </c>
      <c r="C10" s="15" t="str">
        <f>"Потребление: от сети - 25 Вт.
Световой поток: "&amp;E10*$E$6&amp;" Лм. (5000К)
Световой поток с учетом потерь на оптике: "&amp;ROUND((E10*$E$6)-((E10*$E$6)*$E$4/100),0)&amp;" Лм. (5000К)
Количество светодиодов: "&amp;E10&amp;" шт.
Габаритные размеры (ДхШхВ): 440х66х70 мм.
Масса: 0,7 кг"</f>
        <v>Потребление: от сети - 25 Вт.
Световой поток: 3760 Лм. (5000К)
Световой поток с учетом потерь на оптике: 3557 Лм. (5000К)
Количество светодиодов: 40 шт.
Габаритные размеры (ДхШхВ): 440х66х70 мм.
Масса: 0,7 кг</v>
      </c>
      <c r="D10" s="30">
        <v>3530</v>
      </c>
      <c r="E10" s="58">
        <v>40</v>
      </c>
    </row>
    <row r="11" spans="1:6" s="7" customFormat="1" ht="81" customHeight="1" thickBot="1" x14ac:dyDescent="0.4">
      <c r="A11" s="13">
        <v>3</v>
      </c>
      <c r="B11" s="16" t="s">
        <v>179</v>
      </c>
      <c r="C11" s="15" t="str">
        <f>"Потребление: от сети - 35 Вт.
Световой поток: "&amp;E11*$E$6&amp;" Лм. (5000К)
Световой поток с учетом потерь на оптике: "&amp;ROUND((E11*$E$6)-((E11*$E$6)*$E$4/100),0)&amp;" Лм. (5000К)
Количество светодиодов: "&amp;E11&amp;" шт.
Габаритные размеры (ДхШхВ): 640х66х70 мм.
Масса: 1,2 кг"</f>
        <v>Потребление: от сети - 35 Вт.
Световой поток: 5640 Лм. (5000К)
Световой поток с учетом потерь на оптике: 5335 Лм. (5000К)
Количество светодиодов: 60 шт.
Габаритные размеры (ДхШхВ): 640х66х70 мм.
Масса: 1,2 кг</v>
      </c>
      <c r="D11" s="30">
        <v>4410</v>
      </c>
      <c r="E11" s="58">
        <v>60</v>
      </c>
    </row>
    <row r="12" spans="1:6" s="7" customFormat="1" ht="81" customHeight="1" thickBot="1" x14ac:dyDescent="0.4">
      <c r="A12" s="13">
        <v>4</v>
      </c>
      <c r="B12" s="16" t="s">
        <v>180</v>
      </c>
      <c r="C12" s="15" t="str">
        <f>"Потребление: от сети - 45 Вт.
Световой поток: "&amp;E12*$E$6&amp;" Лм. (5000К)
Световой поток с учетом потерь на оптике: "&amp;ROUND((E12*$E$6)-((E12*$E$6)*$E$4/100),0)&amp;" Лм. (5000К)
Количество светодиодов: "&amp;E12&amp;" шт.
Габаритные размеры (ДхШхВ): 840х66х70 мм.
Масса: 1,5 кг"</f>
        <v>Потребление: от сети - 45 Вт.
Световой поток: 7520 Лм. (5000К)
Световой поток с учетом потерь на оптике: 7114 Лм. (5000К)
Количество светодиодов: 80 шт.
Габаритные размеры (ДхШхВ): 840х66х70 мм.
Масса: 1,5 кг</v>
      </c>
      <c r="D12" s="30">
        <v>5290</v>
      </c>
      <c r="E12" s="58">
        <v>80</v>
      </c>
    </row>
    <row r="13" spans="1:6" s="7" customFormat="1" ht="81" customHeight="1" thickBot="1" x14ac:dyDescent="0.4">
      <c r="A13" s="13">
        <v>5</v>
      </c>
      <c r="B13" s="16" t="s">
        <v>181</v>
      </c>
      <c r="C13" s="15" t="str">
        <f>"Потребление: от сети - 55 Вт.
Световой поток: "&amp;E13*$E$6&amp;" Лм. (5000К)
Световой поток с учетом потерь на оптике: "&amp;ROUND((E13*$E$6)-((E13*$E$6)*$E$4/100),0)&amp;" Лм. (5000К)
Количество светодиодов: "&amp;E13&amp;" шт.
Габаритные размеры (ДхШхВ): 1040х66х70 мм.
Масса: 1,8 кг"</f>
        <v>Потребление: от сети - 55 Вт.
Световой поток: 9400 Лм. (5000К)
Световой поток с учетом потерь на оптике: 8892 Лм. (5000К)
Количество светодиодов: 100 шт.
Габаритные размеры (ДхШхВ): 1040х66х70 мм.
Масса: 1,8 кг</v>
      </c>
      <c r="D13" s="30">
        <v>5880</v>
      </c>
      <c r="E13" s="58">
        <v>100</v>
      </c>
    </row>
    <row r="14" spans="1:6" s="7" customFormat="1" ht="81" customHeight="1" thickBot="1" x14ac:dyDescent="0.4">
      <c r="A14" s="13">
        <v>6</v>
      </c>
      <c r="B14" s="16" t="s">
        <v>182</v>
      </c>
      <c r="C14" s="15" t="str">
        <f>"Потребление: от сети - 70 Вт.
Световой поток: "&amp;E14*$E$6&amp;" Лм. (5000К)
Световой поток с учетом потерь на оптике: "&amp;ROUND((E14*$E$6)-((E14*$E$6)*$E$4/100),0)&amp;" Лм. (5000К)
Количество светодиодов: "&amp;E14&amp;" шт.
Габаритные размеры (ДхШхВ): 1240х66х70 мм.
Масса: 2,2 кг"</f>
        <v>Потребление: от сети - 70 Вт.
Световой поток: 11280 Лм. (5000К)
Световой поток с учетом потерь на оптике: 10671 Лм. (5000К)
Количество светодиодов: 120 шт.
Габаритные размеры (ДхШхВ): 1240х66х70 мм.
Масса: 2,2 кг</v>
      </c>
      <c r="D14" s="30">
        <v>8230</v>
      </c>
      <c r="E14" s="58">
        <v>120</v>
      </c>
    </row>
    <row r="15" spans="1:6" s="7" customFormat="1" ht="81" customHeight="1" thickBot="1" x14ac:dyDescent="0.4">
      <c r="A15" s="13">
        <v>7</v>
      </c>
      <c r="B15" s="16" t="s">
        <v>183</v>
      </c>
      <c r="C15" s="15" t="str">
        <f>"Потребление: от сети - 80 Вт.
Световой поток: "&amp;E15*$E$6&amp;" Лм. (5000К)
Световой поток с учетом потерь на оптике: "&amp;ROUND((E15*$E$6)-((E15*$E$6)*$E$4/100),0)&amp;" Лм. (5000К)
Количество светодиодов: "&amp;E15&amp;" шт.
Габаритные размеры (ДхШхВ): 1440х66х70 мм.
Масса: 2,5 кг"</f>
        <v>Потребление: от сети - 80 Вт.
Световой поток: 13160 Лм. (5000К)
Световой поток с учетом потерь на оптике: 12449 Лм. (5000К)
Количество светодиодов: 140 шт.
Габаритные размеры (ДхШхВ): 1440х66х70 мм.
Масса: 2,5 кг</v>
      </c>
      <c r="D15" s="30">
        <v>9010</v>
      </c>
      <c r="E15" s="58">
        <v>140</v>
      </c>
    </row>
    <row r="16" spans="1:6" s="7" customFormat="1" ht="81" customHeight="1" thickBot="1" x14ac:dyDescent="0.4">
      <c r="A16" s="13">
        <v>8</v>
      </c>
      <c r="B16" s="16" t="s">
        <v>184</v>
      </c>
      <c r="C16" s="15" t="str">
        <f>"Потребление: от сети - 90 Вт.
Световой поток: "&amp;E16*$E$6&amp;" Лм. (5000К)
Световой поток с учетом потерь на оптике: "&amp;ROUND((E16*$E$6)-((E16*$E$6)*$E$4/100),0)&amp;" Лм. (5000К)
Количество светодиодов: "&amp;E16&amp;" шт.
Габаритные размеры (ДхШхВ): 1640х66х70 мм.
Масса: 2,9 кг"</f>
        <v>Потребление: от сети - 90 Вт.
Световой поток: 15040 Лм. (5000К)
Световой поток с учетом потерь на оптике: 14228 Лм. (5000К)
Количество светодиодов: 160 шт.
Габаритные размеры (ДхШхВ): 1640х66х70 мм.
Масса: 2,9 кг</v>
      </c>
      <c r="D16" s="30">
        <v>9790</v>
      </c>
      <c r="E16" s="58">
        <v>160</v>
      </c>
    </row>
    <row r="17" spans="1:5" s="7" customFormat="1" ht="81" customHeight="1" thickBot="1" x14ac:dyDescent="0.4">
      <c r="A17" s="13">
        <v>9</v>
      </c>
      <c r="B17" s="16" t="s">
        <v>185</v>
      </c>
      <c r="C17" s="15" t="str">
        <f>"Потребление: от сети - 100 Вт.
Световой поток: "&amp;E17*$E$6&amp;" Лм. (5000К)
Световой поток с учетом потерь на оптике: "&amp;ROUND((E17*$E$6)-((E17*$E$6)*$E$4/100),0)&amp;" Лм. (5000К)
Количество светодиодов: "&amp;E17&amp;" шт.
Габаритные размеры (ДхШхВ): 1840х66х70 мм.
Масса: 3,2 кг"</f>
        <v>Потребление: от сети - 100 Вт.
Световой поток: 16920 Лм. (5000К)
Световой поток с учетом потерь на оптике: 16006 Лм. (5000К)
Количество светодиодов: 180 шт.
Габаритные размеры (ДхШхВ): 1840х66х70 мм.
Масса: 3,2 кг</v>
      </c>
      <c r="D17" s="30">
        <v>10970</v>
      </c>
      <c r="E17" s="58">
        <v>180</v>
      </c>
    </row>
    <row r="18" spans="1:5" s="7" customFormat="1" ht="81" customHeight="1" thickBot="1" x14ac:dyDescent="0.4">
      <c r="A18" s="13">
        <v>10</v>
      </c>
      <c r="B18" s="16" t="s">
        <v>186</v>
      </c>
      <c r="C18" s="15" t="str">
        <f>"Потребление: от сети - 115 Вт.
Световой поток: "&amp;E18*$E$6&amp;" Лм. (5000К)
Световой поток с учетом потерь на оптике: "&amp;ROUND((E18*$E$6)-((E18*$E$6)*$E$4/100),0)&amp;" Лм. (5000К)
Количество светодиодов: "&amp;E18&amp;" шт.
Габаритные размеры (ДхШхВ): 2040х66х70 мм.
Масса: 3,6 кг"</f>
        <v>Потребление: от сети - 115 Вт.
Световой поток: 18800 Лм. (5000К)
Световой поток с учетом потерь на оптике: 17785 Лм. (5000К)
Количество светодиодов: 200 шт.
Габаритные размеры (ДхШхВ): 2040х66х70 мм.
Масса: 3,6 кг</v>
      </c>
      <c r="D18" s="30">
        <v>11740</v>
      </c>
      <c r="E18" s="58">
        <v>200</v>
      </c>
    </row>
    <row r="19" spans="1:5" s="7" customFormat="1" ht="81" customHeight="1" thickBot="1" x14ac:dyDescent="0.4">
      <c r="A19" s="17">
        <v>11</v>
      </c>
      <c r="B19" s="20" t="s">
        <v>187</v>
      </c>
      <c r="C19" s="19" t="str">
        <f>"Потребление: от сети - 140 Вт.
Световой поток: "&amp;E19*$E$6&amp;" Лм. (5000К)
Световой поток с учетом потерь на оптике: "&amp;ROUND((E19*$E$6)-((E19*$E$6)*$E$4/100),0)&amp;" Лм. (5000К)
Количество светодиодов: "&amp;E19&amp;" шт.
Габаритные размеры (ДхШхВ): 2460х66х70 мм.
Масса: 4,3 кг"</f>
        <v>Потребление: от сети - 140 Вт.
Световой поток: 22560 Лм. (5000К)
Световой поток с учетом потерь на оптике: 21342 Лм. (5000К)
Количество светодиодов: 240 шт.
Габаритные размеры (ДхШхВ): 2460х66х70 мм.
Масса: 4,3 кг</v>
      </c>
      <c r="D19" s="30">
        <v>18790</v>
      </c>
      <c r="E19" s="58">
        <v>240</v>
      </c>
    </row>
    <row r="20" spans="1:5" s="7" customFormat="1" ht="15" thickBot="1" x14ac:dyDescent="0.4">
      <c r="A20" s="121" t="s">
        <v>188</v>
      </c>
      <c r="B20" s="122"/>
      <c r="C20" s="122"/>
      <c r="D20" s="122"/>
      <c r="E20" s="58"/>
    </row>
    <row r="21" spans="1:5" s="7" customFormat="1" ht="107.25" customHeight="1" thickBot="1" x14ac:dyDescent="0.4">
      <c r="A21" s="114"/>
      <c r="B21" s="115"/>
      <c r="C21" s="115"/>
      <c r="D21" s="115"/>
      <c r="E21" s="58">
        <v>10</v>
      </c>
    </row>
    <row r="22" spans="1:5" s="7" customFormat="1" ht="15" thickBot="1" x14ac:dyDescent="0.4">
      <c r="A22" s="116" t="s">
        <v>13</v>
      </c>
      <c r="B22" s="117"/>
      <c r="C22" s="117"/>
      <c r="D22" s="117"/>
      <c r="E22" s="58"/>
    </row>
    <row r="23" spans="1:5" s="7" customFormat="1" ht="54" customHeight="1" thickBot="1" x14ac:dyDescent="0.4">
      <c r="A23" s="118" t="s">
        <v>63</v>
      </c>
      <c r="B23" s="119"/>
      <c r="C23" s="120"/>
      <c r="D23" s="120"/>
      <c r="E23" s="60"/>
    </row>
    <row r="24" spans="1:5" s="7" customFormat="1" ht="40.5" customHeight="1" thickBot="1" x14ac:dyDescent="0.4">
      <c r="A24" s="34" t="s">
        <v>11</v>
      </c>
      <c r="B24" s="35" t="s">
        <v>15</v>
      </c>
      <c r="C24" s="35" t="s">
        <v>12</v>
      </c>
      <c r="D24" s="36" t="s">
        <v>37</v>
      </c>
      <c r="E24" s="60"/>
    </row>
    <row r="25" spans="1:5" s="7" customFormat="1" ht="81" customHeight="1" thickBot="1" x14ac:dyDescent="0.4">
      <c r="A25" s="27">
        <v>1</v>
      </c>
      <c r="B25" s="32" t="s">
        <v>189</v>
      </c>
      <c r="C25" s="29" t="str">
        <f>"Потребление: от сети - 12 Вт.
Световой поток: "&amp;E25*$E$6&amp;" Лм. (5000К)
Световой поток с учетом потерь на оптике: "&amp;ROUND((E25*$E$6)-((E25*$E$6)*$E$2/100),0)&amp;" Лм. (5000К)
Количество светодиодов: "&amp;E25&amp;" шт.
Габаритные размеры (ДхШхВ): 240х66х70 мм.
Масса: 0,5 кг"</f>
        <v>Потребление: от сети - 12 Вт.
Световой поток: 1880 Лм. (5000К)
Световой поток с учетом потерь на оптике: 1692 Лм. (5000К)
Количество светодиодов: 20 шт.
Габаритные размеры (ДхШхВ): 240х66х70 мм.
Масса: 0,5 кг</v>
      </c>
      <c r="D25" s="30">
        <v>2300</v>
      </c>
      <c r="E25" s="58">
        <v>20</v>
      </c>
    </row>
    <row r="26" spans="1:5" s="7" customFormat="1" ht="81" customHeight="1" thickBot="1" x14ac:dyDescent="0.4">
      <c r="A26" s="13">
        <v>2</v>
      </c>
      <c r="B26" s="16" t="s">
        <v>190</v>
      </c>
      <c r="C26" s="15" t="str">
        <f>"Потребление: от сети - 25 Вт.
Световой поток: "&amp;E26*$E$6&amp;" Лм. (5000К)
Световой поток с учетом потерь на оптике: "&amp;ROUND((E26*$E$6)-((E26*$E$6)*$E$2/100),0)&amp;" Лм. (5000К)
Количество светодиодов: "&amp;E26&amp;" шт.
Габаритные размеры (ДхШхВ): 440х66х70 мм.
Масса: 0,6 кг"</f>
        <v>Потребление: от сети - 25 Вт.
Световой поток: 3760 Лм. (5000К)
Световой поток с учетом потерь на оптике: 3384 Лм. (5000К)
Количество светодиодов: 40 шт.
Габаритные размеры (ДхШхВ): 440х66х70 мм.
Масса: 0,6 кг</v>
      </c>
      <c r="D26" s="30">
        <v>3630</v>
      </c>
      <c r="E26" s="58">
        <v>40</v>
      </c>
    </row>
    <row r="27" spans="1:5" s="7" customFormat="1" ht="81" customHeight="1" thickBot="1" x14ac:dyDescent="0.4">
      <c r="A27" s="13">
        <v>3</v>
      </c>
      <c r="B27" s="16" t="s">
        <v>191</v>
      </c>
      <c r="C27" s="15" t="str">
        <f>"Потребление: от сети - 35 Вт.
Световой поток: "&amp;E27*$E$6&amp;" Лм. (5000К)
Световой поток с учетом потерь на оптике: "&amp;ROUND((E27*$E$6)-((E27*$E$6)*$E$2/100),0)&amp;" Лм. (5000К)
Количество светодиодов: "&amp;E27&amp;" шт.
Габаритные размеры (ДхШхВ): 640х66х70 мм.
Масса: 1 кг"</f>
        <v>Потребление: от сети - 35 Вт.
Световой поток: 5640 Лм. (5000К)
Световой поток с учетом потерь на оптике: 5076 Лм. (5000К)
Количество светодиодов: 60 шт.
Габаритные размеры (ДхШхВ): 640х66х70 мм.
Масса: 1 кг</v>
      </c>
      <c r="D27" s="30">
        <v>4390</v>
      </c>
      <c r="E27" s="58">
        <v>60</v>
      </c>
    </row>
    <row r="28" spans="1:5" s="7" customFormat="1" ht="81" customHeight="1" thickBot="1" x14ac:dyDescent="0.4">
      <c r="A28" s="13">
        <v>4</v>
      </c>
      <c r="B28" s="16" t="s">
        <v>192</v>
      </c>
      <c r="C28" s="15" t="str">
        <f>"Потребление: от сети - 45 Вт.
Световой поток: "&amp;E28*$E$6&amp;" Лм. (5000К)
Световой поток с учетом потерь на оптике: "&amp;ROUND((E28*$E$6)-((E28*$E$6)*$E$2/100),0)&amp;" Лм. (5000К)
Количество светодиодов: "&amp;E28&amp;" шт.
Габаритные размеры (ДхШхВ): 840х66х70 мм.
Масса: 1,5 кг"</f>
        <v>Потребление: от сети - 45 Вт.
Световой поток: 7520 Лм. (5000К)
Световой поток с учетом потерь на оптике: 6768 Лм. (5000К)
Количество светодиодов: 80 шт.
Габаритные размеры (ДхШхВ): 840х66х70 мм.
Масса: 1,5 кг</v>
      </c>
      <c r="D28" s="30">
        <v>5630</v>
      </c>
      <c r="E28" s="58">
        <v>80</v>
      </c>
    </row>
    <row r="29" spans="1:5" s="7" customFormat="1" ht="81" customHeight="1" thickBot="1" x14ac:dyDescent="0.4">
      <c r="A29" s="13">
        <v>5</v>
      </c>
      <c r="B29" s="16" t="s">
        <v>193</v>
      </c>
      <c r="C29" s="15" t="str">
        <f>"Потребление: от сети - 55 Вт.
Световой поток: "&amp;E29*$E$6&amp;" Лм. (5000К)
Световой поток с учетом потерь на оптике: "&amp;ROUND((E29*$E$6)-((E29*$E$6)*$E$2/100),0)&amp;" Лм. (5000К)
Количество светодиодов: "&amp;E29&amp;" шт.
Габаритные размеры (ДхШхВ): 1040х66х70 мм.
Масса: 1,8 кг"</f>
        <v>Потребление: от сети - 55 Вт.
Световой поток: 9400 Лм. (5000К)
Световой поток с учетом потерь на оптике: 8460 Лм. (5000К)
Количество светодиодов: 100 шт.
Габаритные размеры (ДхШхВ): 1040х66х70 мм.
Масса: 1,8 кг</v>
      </c>
      <c r="D29" s="30">
        <v>6360</v>
      </c>
      <c r="E29" s="58">
        <v>100</v>
      </c>
    </row>
    <row r="30" spans="1:5" s="7" customFormat="1" ht="81" customHeight="1" thickBot="1" x14ac:dyDescent="0.4">
      <c r="A30" s="13">
        <v>6</v>
      </c>
      <c r="B30" s="16" t="s">
        <v>194</v>
      </c>
      <c r="C30" s="15" t="str">
        <f>"Потребление: от сети - 70 Вт.
Световой поток: "&amp;E30*$E$6&amp;" Лм. (5000К)
Световой поток с учетом потерь на оптике: "&amp;ROUND((E30*$E$6)-((E30*$E$6)*$E$2/100),0)&amp;" Лм. (5000К)
Количество светодиодов: "&amp;E30&amp;" шт.
Габаритные размеры (ДхШхВ): 1240х66х70 мм.
Масса: 2,2 кг"</f>
        <v>Потребление: от сети - 70 Вт.
Световой поток: 11280 Лм. (5000К)
Световой поток с учетом потерь на оптике: 10152 Лм. (5000К)
Количество светодиодов: 120 шт.
Габаритные размеры (ДхШхВ): 1240х66х70 мм.
Масса: 2,2 кг</v>
      </c>
      <c r="D30" s="30">
        <v>8330</v>
      </c>
      <c r="E30" s="58">
        <v>120</v>
      </c>
    </row>
    <row r="31" spans="1:5" s="7" customFormat="1" ht="81" customHeight="1" thickBot="1" x14ac:dyDescent="0.4">
      <c r="A31" s="13">
        <v>7</v>
      </c>
      <c r="B31" s="16" t="s">
        <v>195</v>
      </c>
      <c r="C31" s="15" t="str">
        <f>"Потребление: от сети - 80 Вт.
Световой поток: "&amp;E31*$E$6&amp;" Лм. (5000К)
Световой поток с учетом потерь на оптике: "&amp;ROUND((E31*$E$6)-((E31*$E$6)*$E$2/100),0)&amp;" Лм. (5000К)
Количество светодиодов: "&amp;E31&amp;" шт.
Габаритные размеры (ДхШхВ): 1440х66х70 мм.
Масса: 2,5 кг"</f>
        <v>Потребление: от сети - 80 Вт.
Световой поток: 13160 Лм. (5000К)
Световой поток с учетом потерь на оптике: 11844 Лм. (5000К)
Количество светодиодов: 140 шт.
Габаритные размеры (ДхШхВ): 1440х66х70 мм.
Масса: 2,5 кг</v>
      </c>
      <c r="D31" s="30">
        <v>9160</v>
      </c>
      <c r="E31" s="58">
        <v>140</v>
      </c>
    </row>
    <row r="32" spans="1:5" s="7" customFormat="1" ht="81" customHeight="1" thickBot="1" x14ac:dyDescent="0.4">
      <c r="A32" s="13">
        <v>8</v>
      </c>
      <c r="B32" s="16" t="s">
        <v>196</v>
      </c>
      <c r="C32" s="15" t="str">
        <f>"Потребление: от сети - 90 Вт.
Световой поток: "&amp;E32*$E$6&amp;" Лм. (5000К)
Световой поток с учетом потерь на оптике: "&amp;ROUND((E32*$E$6)-((E32*$E$6)*$E$2/100),0)&amp;" Лм. (5000К)
Количество светодиодов: "&amp;E32&amp;" шт.
Габаритные размеры (ДхШхВ): 1640х66х70 мм.
Масса: 2,9 кг"</f>
        <v>Потребление: от сети - 90 Вт.
Световой поток: 15040 Лм. (5000К)
Световой поток с учетом потерь на оптике: 13536 Лм. (5000К)
Количество светодиодов: 160 шт.
Габаритные размеры (ДхШхВ): 1640х66х70 мм.
Масса: 2,9 кг</v>
      </c>
      <c r="D32" s="30">
        <v>9890</v>
      </c>
      <c r="E32" s="58">
        <v>160</v>
      </c>
    </row>
    <row r="33" spans="1:5" s="7" customFormat="1" ht="81" customHeight="1" thickBot="1" x14ac:dyDescent="0.4">
      <c r="A33" s="13">
        <v>9</v>
      </c>
      <c r="B33" s="16" t="s">
        <v>197</v>
      </c>
      <c r="C33" s="15" t="str">
        <f>"Потребление: от сети - 100 Вт.
Световой поток: "&amp;E33*$E$6&amp;" Лм. (5000К)
Световой поток с учетом потерь на оптике: "&amp;ROUND((E33*$E$6)-((E33*$E$6)*$E$2/100),0)&amp;" Лм. (5000К)
Количество светодиодов: "&amp;E33&amp;" шт.
Габаритные размеры (ДхШхВ): 1840х66х70 мм.
Масса: 3,2 кг"</f>
        <v>Потребление: от сети - 100 Вт.
Световой поток: 16920 Лм. (5000К)
Световой поток с учетом потерь на оптике: 15228 Лм. (5000К)
Количество светодиодов: 180 шт.
Габаритные размеры (ДхШхВ): 1840х66х70 мм.
Масса: 3,2 кг</v>
      </c>
      <c r="D33" s="30">
        <v>11560</v>
      </c>
      <c r="E33" s="58">
        <v>180</v>
      </c>
    </row>
    <row r="34" spans="1:5" s="7" customFormat="1" ht="81" customHeight="1" thickBot="1" x14ac:dyDescent="0.4">
      <c r="A34" s="17">
        <v>10</v>
      </c>
      <c r="B34" s="20" t="s">
        <v>198</v>
      </c>
      <c r="C34" s="19" t="str">
        <f>"Потребление: от сети - 115 Вт.
Световой поток: "&amp;E34*$E$6&amp;" Лм. (5000К)
Световой поток с учетом потерь на оптике: "&amp;ROUND((E34*$E$6)-((E34*$E$6)*$E$2/100),0)&amp;" Лм. (5000К)
Количество светодиодов: "&amp;E34&amp;" шт.
Габаритные размеры (ДхШхВ): 2040х66х70 мм.
Масса: 3,6 кг"</f>
        <v>Потребление: от сети - 115 Вт.
Световой поток: 18800 Лм. (5000К)
Световой поток с учетом потерь на оптике: 16920 Лм. (5000К)
Количество светодиодов: 200 шт.
Габаритные размеры (ДхШхВ): 2040х66х70 мм.
Масса: 3,6 кг</v>
      </c>
      <c r="D34" s="30">
        <v>12080</v>
      </c>
      <c r="E34" s="62">
        <v>200</v>
      </c>
    </row>
  </sheetData>
  <mergeCells count="10">
    <mergeCell ref="A3:D3"/>
    <mergeCell ref="A4:D4"/>
    <mergeCell ref="A5:D5"/>
    <mergeCell ref="A6:D6"/>
    <mergeCell ref="C1:F1"/>
    <mergeCell ref="A7:D7"/>
    <mergeCell ref="A20:D20"/>
    <mergeCell ref="A21:D21"/>
    <mergeCell ref="A22:D22"/>
    <mergeCell ref="A23:D23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85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  <pageSetUpPr fitToPage="1"/>
  </sheetPr>
  <dimension ref="A1:F19"/>
  <sheetViews>
    <sheetView zoomScale="70" zoomScaleNormal="70" zoomScaleSheetLayoutView="120" workbookViewId="0">
      <selection activeCell="C1" sqref="C1:F1"/>
    </sheetView>
  </sheetViews>
  <sheetFormatPr defaultColWidth="9.1796875" defaultRowHeight="23.5" x14ac:dyDescent="0.35"/>
  <cols>
    <col min="1" max="1" width="5.7265625" style="3" customWidth="1"/>
    <col min="2" max="2" width="18.7265625" style="4" customWidth="1"/>
    <col min="3" max="3" width="67.54296875" style="6" customWidth="1"/>
    <col min="4" max="4" width="24.6328125" style="5" customWidth="1"/>
    <col min="5" max="5" width="22.1796875" style="59" hidden="1" customWidth="1"/>
    <col min="6" max="16384" width="9.1796875" style="3"/>
  </cols>
  <sheetData>
    <row r="1" spans="1:6" s="7" customFormat="1" ht="98.5" customHeight="1" thickBot="1" x14ac:dyDescent="0.4">
      <c r="C1" s="86" t="s">
        <v>296</v>
      </c>
      <c r="D1" s="86"/>
      <c r="E1" s="86"/>
      <c r="F1" s="86"/>
    </row>
    <row r="2" spans="1:6" s="7" customFormat="1" ht="23" hidden="1" customHeight="1" thickBot="1" x14ac:dyDescent="0.4">
      <c r="E2" s="63">
        <v>45.08</v>
      </c>
    </row>
    <row r="3" spans="1:6" s="7" customFormat="1" ht="15" thickBot="1" x14ac:dyDescent="0.4">
      <c r="A3" s="104" t="s">
        <v>199</v>
      </c>
      <c r="B3" s="105"/>
      <c r="C3" s="105"/>
      <c r="D3" s="105"/>
      <c r="E3" s="53" t="s">
        <v>58</v>
      </c>
    </row>
    <row r="4" spans="1:6" s="7" customFormat="1" ht="107.25" customHeight="1" thickBot="1" x14ac:dyDescent="0.4">
      <c r="A4" s="114"/>
      <c r="B4" s="115"/>
      <c r="C4" s="115"/>
      <c r="D4" s="115"/>
      <c r="E4" s="54">
        <v>20.18</v>
      </c>
    </row>
    <row r="5" spans="1:6" s="7" customFormat="1" ht="15" thickBot="1" x14ac:dyDescent="0.4">
      <c r="A5" s="116" t="s">
        <v>13</v>
      </c>
      <c r="B5" s="117"/>
      <c r="C5" s="117"/>
      <c r="D5" s="117"/>
      <c r="E5" s="55" t="s">
        <v>48</v>
      </c>
    </row>
    <row r="6" spans="1:6" s="7" customFormat="1" ht="54" customHeight="1" thickBot="1" x14ac:dyDescent="0.4">
      <c r="A6" s="118" t="s">
        <v>36</v>
      </c>
      <c r="B6" s="119"/>
      <c r="C6" s="120"/>
      <c r="D6" s="120"/>
      <c r="E6" s="56">
        <v>94</v>
      </c>
    </row>
    <row r="7" spans="1:6" s="7" customFormat="1" ht="40.5" customHeight="1" thickBot="1" x14ac:dyDescent="0.4">
      <c r="A7" s="34" t="s">
        <v>11</v>
      </c>
      <c r="B7" s="35" t="s">
        <v>15</v>
      </c>
      <c r="C7" s="35" t="s">
        <v>12</v>
      </c>
      <c r="D7" s="36" t="s">
        <v>37</v>
      </c>
      <c r="E7" s="57" t="s">
        <v>47</v>
      </c>
    </row>
    <row r="8" spans="1:6" s="7" customFormat="1" ht="102.75" customHeight="1" thickBot="1" x14ac:dyDescent="0.4">
      <c r="A8" s="27">
        <v>1</v>
      </c>
      <c r="B8" s="32" t="s">
        <v>200</v>
      </c>
      <c r="C8" s="29" t="str">
        <f>"Потребление: от сети - 12 Вт.
Световой поток: "&amp;E8*$E$6&amp;" Лм. (5000К)
Световой поток с учетом потерь на рассеивателе: "&amp;ROUND((E8*$E$6)-((E8*$E$6)*$E$4/100),0)&amp;" Лм. (5000К)
Световой поток с учетом потерь на OPAL: "&amp;ROUND((E8*$E$6)-((E8*$E$6)*$E$2/100),0)&amp;" Лм. (5000К)
Количество светодиодов: "&amp;E8&amp;" шт.
Габаритные размеры (ДхШхВ): 240х66х70 мм.
Масса: 0,5 кг."</f>
        <v>Потребление: от сети - 12 Вт.
Световой поток: 1880 Лм. (5000К)
Световой поток с учетом потерь на рассеивателе: 1501 Лм. (5000К)
Световой поток с учетом потерь на OPAL: 1032 Лм. (5000К)
Количество светодиодов: 20 шт.
Габаритные размеры (ДхШхВ): 240х66х70 мм.
Масса: 0,5 кг.</v>
      </c>
      <c r="D8" s="30">
        <v>2350</v>
      </c>
      <c r="E8" s="58">
        <v>20</v>
      </c>
    </row>
    <row r="9" spans="1:6" s="7" customFormat="1" ht="100.5" customHeight="1" thickBot="1" x14ac:dyDescent="0.4">
      <c r="A9" s="13">
        <v>2</v>
      </c>
      <c r="B9" s="16" t="s">
        <v>201</v>
      </c>
      <c r="C9" s="15" t="str">
        <f>"Потребление: от сети - 25 Вт.
Световой поток: "&amp;E9*$E$6&amp;" Лм. (5000К)
Световой поток с учетом потерь на рассеивателе: "&amp;ROUND((E9*$E$6)-((E9*$E$6)*$E$4/100),0)&amp;" Лм. (5000К)
Световой поток с учетом потерь на OPAL: "&amp;ROUND((E9*$E$6)-((E9*$E$6)*$E$2/100),0)&amp;" Лм. (5000К)
Количество светодиодов: "&amp;E9&amp;" шт.
Габаритные размеры (ДхШхВ): 430х66х70 мм.
Масса: 0,7 кг."</f>
        <v>Потребление: от сети - 25 Вт.
Световой поток: 3760 Лм. (5000К)
Световой поток с учетом потерь на рассеивателе: 3001 Лм. (5000К)
Световой поток с учетом потерь на OPAL: 2065 Лм. (5000К)
Количество светодиодов: 40 шт.
Габаритные размеры (ДхШхВ): 430х66х70 мм.
Масса: 0,7 кг.</v>
      </c>
      <c r="D9" s="30">
        <v>4140</v>
      </c>
      <c r="E9" s="58">
        <v>40</v>
      </c>
    </row>
    <row r="10" spans="1:6" s="7" customFormat="1" ht="100.5" customHeight="1" thickBot="1" x14ac:dyDescent="0.4">
      <c r="A10" s="13">
        <v>3</v>
      </c>
      <c r="B10" s="16" t="s">
        <v>202</v>
      </c>
      <c r="C10" s="15" t="str">
        <f>"Потребление: от сети - 35 Вт.
Световой поток: "&amp;E10*$E$6&amp;" Лм. (5000К)
Световой поток с учетом потерь на рассеивателе: "&amp;ROUND((E10*$E$6)-((E10*$E$6)*$E$4/100),0)&amp;" Лм. (5000К)
Световой поток с учетом потерь на OPAL: "&amp;ROUND((E10*$E$6)-((E10*$E$6)*$E$2/100),0)&amp;" Лм. (5000К)
Количество светодиодов: "&amp;E10&amp;" шт.
Габаритные размеры (ДхШхВ): 630х66х70 мм.
Масса: 1 кг"</f>
        <v>Потребление: от сети - 35 Вт.
Световой поток: 5640 Лм. (5000К)
Световой поток с учетом потерь на рассеивателе: 4502 Лм. (5000К)
Световой поток с учетом потерь на OPAL: 3097 Лм. (5000К)
Количество светодиодов: 60 шт.
Габаритные размеры (ДхШхВ): 630х66х70 мм.
Масса: 1 кг</v>
      </c>
      <c r="D10" s="30">
        <v>4510</v>
      </c>
      <c r="E10" s="58">
        <v>60</v>
      </c>
    </row>
    <row r="11" spans="1:6" s="7" customFormat="1" ht="103.5" customHeight="1" thickBot="1" x14ac:dyDescent="0.4">
      <c r="A11" s="13">
        <v>4</v>
      </c>
      <c r="B11" s="16" t="s">
        <v>203</v>
      </c>
      <c r="C11" s="15" t="str">
        <f>"Потребление: от сети - 45 Вт.
Световой поток: "&amp;E11*$E$6&amp;" Лм. (5000К)
Световой поток с учетом потерь на рассеивателе: "&amp;ROUND((E11*$E$6)-((E11*$E$6)*$E$4/100),0)&amp;" Лм. (5000К)
Световой поток с учетом потерь на OPAL: "&amp;ROUND((E11*$E$6)-((E11*$E$6)*$E$2/100),0)&amp;" Лм. (5000К)
Количество светодиодов: "&amp;E11&amp;" шт.
Габаритные размеры (ДхШхВ): 830х66х70 мм.
Масса: 1,5 кг"</f>
        <v>Потребление: от сети - 45 Вт.
Световой поток: 7520 Лм. (5000К)
Световой поток с учетом потерь на рассеивателе: 6002 Лм. (5000К)
Световой поток с учетом потерь на OPAL: 4130 Лм. (5000К)
Количество светодиодов: 80 шт.
Габаритные размеры (ДхШхВ): 830х66х70 мм.
Масса: 1,5 кг</v>
      </c>
      <c r="D11" s="30">
        <v>5070</v>
      </c>
      <c r="E11" s="58">
        <v>80</v>
      </c>
    </row>
    <row r="12" spans="1:6" s="7" customFormat="1" ht="103.5" customHeight="1" thickBot="1" x14ac:dyDescent="0.4">
      <c r="A12" s="13">
        <v>5</v>
      </c>
      <c r="B12" s="16" t="s">
        <v>204</v>
      </c>
      <c r="C12" s="15" t="str">
        <f>"Потребление: от сети - 55 Вт.
Световой поток: "&amp;E12*$E$6&amp;" Лм. (5000К)
Световой поток с учетом потерь на рассеивателе: "&amp;ROUND((E12*$E$6)-((E12*$E$6)*$E$4/100),0)&amp;" Лм. (5000К)
Световой поток с учетом потерь на OPAL: "&amp;ROUND((E12*$E$6)-((E12*$E$6)*$E$2/100),0)&amp;" Лм. (5000К)
Количество светодиодов: "&amp;E12&amp;" шт.
Габаритные размеры (ДхШхВ): 1030х66х70 мм.
Масса: 1,8 кг"</f>
        <v>Потребление: от сети - 55 Вт.
Световой поток: 9400 Лм. (5000К)
Световой поток с учетом потерь на рассеивателе: 7503 Лм. (5000К)
Световой поток с учетом потерь на OPAL: 5162 Лм. (5000К)
Количество светодиодов: 100 шт.
Габаритные размеры (ДхШхВ): 1030х66х70 мм.
Масса: 1,8 кг</v>
      </c>
      <c r="D12" s="30">
        <v>7500</v>
      </c>
      <c r="E12" s="58">
        <v>100</v>
      </c>
    </row>
    <row r="13" spans="1:6" s="7" customFormat="1" ht="104.25" customHeight="1" thickBot="1" x14ac:dyDescent="0.4">
      <c r="A13" s="13">
        <v>6</v>
      </c>
      <c r="B13" s="16" t="s">
        <v>205</v>
      </c>
      <c r="C13" s="15" t="str">
        <f>"Потребление: от сети - 70 Вт.
Световой поток: "&amp;E13*$E$6&amp;" Лм. (5000К)
Световой поток с учетом потерь на рассеивателе: "&amp;ROUND((E13*$E$6)-((E13*$E$6)*$E$4/100),0)&amp;" Лм. (5000К)
Световой поток с учетом потерь на OPAL: "&amp;ROUND((E13*$E$6)-((E13*$E$6)*$E$2/100),0)&amp;" Лм. (5000К)
Количество светодиодов: "&amp;E13&amp;" шт.
Габаритные размеры (ДхШхВ): 1230х66х70 мм.
Масса: 2,2 кг"</f>
        <v>Потребление: от сети - 70 Вт.
Световой поток: 11280 Лм. (5000К)
Световой поток с учетом потерь на рассеивателе: 9004 Лм. (5000К)
Световой поток с учетом потерь на OPAL: 6195 Лм. (5000К)
Количество светодиодов: 120 шт.
Габаритные размеры (ДхШхВ): 1230х66х70 мм.
Масса: 2,2 кг</v>
      </c>
      <c r="D13" s="30">
        <v>9370</v>
      </c>
      <c r="E13" s="58">
        <v>120</v>
      </c>
    </row>
    <row r="14" spans="1:6" s="7" customFormat="1" ht="102.75" customHeight="1" thickBot="1" x14ac:dyDescent="0.4">
      <c r="A14" s="13">
        <v>7</v>
      </c>
      <c r="B14" s="16" t="s">
        <v>206</v>
      </c>
      <c r="C14" s="15" t="str">
        <f>"Потребление: от сети - 80 Вт.
Световой поток: "&amp;E14*$E$6&amp;" Лм. (5000К)
Световой поток с учетом потерь на рассеивателе: "&amp;ROUND((E14*$E$6)-((E14*$E$6)*$E$4/100),0)&amp;" Лм. (5000К)
Световой поток с учетом потерь на OPAL: "&amp;ROUND((E14*$E$6)-((E14*$E$6)*$E$2/100),0)&amp;" Лм. (5000К)
Количество светодиодов: "&amp;E14&amp;" шт.
Габаритные размеры (ДхШхВ): 1430х66х70 мм.
Масса: 2,5 кг"</f>
        <v>Потребление: от сети - 80 Вт.
Световой поток: 13160 Лм. (5000К)
Световой поток с учетом потерь на рассеивателе: 10504 Лм. (5000К)
Световой поток с учетом потерь на OPAL: 7227 Лм. (5000К)
Количество светодиодов: 140 шт.
Габаритные размеры (ДхШхВ): 1430х66х70 мм.
Масса: 2,5 кг</v>
      </c>
      <c r="D14" s="30">
        <v>10680</v>
      </c>
      <c r="E14" s="58">
        <v>140</v>
      </c>
    </row>
    <row r="15" spans="1:6" s="7" customFormat="1" ht="94.5" customHeight="1" thickBot="1" x14ac:dyDescent="0.4">
      <c r="A15" s="13">
        <v>8</v>
      </c>
      <c r="B15" s="16" t="s">
        <v>207</v>
      </c>
      <c r="C15" s="15" t="str">
        <f>"Потребление: от сети - 90 Вт.
Световой поток: "&amp;E15*$E$6&amp;" Лм. (5000К)
Световой поток с учетом потерь на рассеивателе: "&amp;ROUND((E15*$E$6)-((E15*$E$6)*$E$4/100),0)&amp;" Лм. (5000К)
Световой поток с учетом потерь на OPAL: "&amp;ROUND((E15*$E$6)-((E15*$E$6)*$E$2/100),0)&amp;" Лм. (5000К)
Количество светодиодов: "&amp;E15&amp;" шт.
Габаритные размеры (ДхШхВ): 1630х66х70 мм.
Масса: 2,9 кг"</f>
        <v>Потребление: от сети - 90 Вт.
Световой поток: 15040 Лм. (5000К)
Световой поток с учетом потерь на рассеивателе: 12005 Лм. (5000К)
Световой поток с учетом потерь на OPAL: 8260 Лм. (5000К)
Количество светодиодов: 160 шт.
Габаритные размеры (ДхШхВ): 1630х66х70 мм.
Масса: 2,9 кг</v>
      </c>
      <c r="D15" s="30">
        <v>11620</v>
      </c>
      <c r="E15" s="58">
        <v>160</v>
      </c>
    </row>
    <row r="16" spans="1:6" s="7" customFormat="1" ht="105.75" customHeight="1" thickBot="1" x14ac:dyDescent="0.4">
      <c r="A16" s="13">
        <v>9</v>
      </c>
      <c r="B16" s="16" t="s">
        <v>208</v>
      </c>
      <c r="C16" s="15" t="str">
        <f>"Потребление: от сети - 100 Вт.
Световой поток: "&amp;E16*$E$6&amp;" Лм. (5000К)
Световой поток с учетом потерь на рассеивателе: "&amp;ROUND((E16*$E$6)-((E16*$E$6)*$E$4/100),0)&amp;" Лм. (5000К)
Световой поток с учетом потерь на OPAL: "&amp;ROUND((E16*$E$6)-((E16*$E$6)*$E$2/100),0)&amp;" Лм. (5000К)
Количество светодиодов: "&amp;E16&amp;" шт.
Габаритные размеры (ДхШхВ): 1830х66х70 мм.
Масса: 3,2 кг"</f>
        <v>Потребление: от сети - 100 Вт.
Световой поток: 16920 Лм. (5000К)
Световой поток с учетом потерь на рассеивателе: 13506 Лм. (5000К)
Световой поток с учетом потерь на OPAL: 9292 Лм. (5000К)
Количество светодиодов: 180 шт.
Габаритные размеры (ДхШхВ): 1830х66х70 мм.
Масса: 3,2 кг</v>
      </c>
      <c r="D16" s="30">
        <v>13120</v>
      </c>
      <c r="E16" s="58">
        <v>180</v>
      </c>
    </row>
    <row r="17" spans="1:5" s="7" customFormat="1" ht="91.5" thickBot="1" x14ac:dyDescent="0.4">
      <c r="A17" s="17">
        <v>10</v>
      </c>
      <c r="B17" s="20" t="s">
        <v>209</v>
      </c>
      <c r="C17" s="19" t="str">
        <f>"Потребление: от сети - 115 Вт.
Световой поток: "&amp;E17*$E$6&amp;" Лм. (5000К)
Световой поток с учетом потерь на рассеивателе: "&amp;ROUND((E17*$E$6)-((E17*$E$6)*$E$4/100),0)&amp;" Лм. (5000К)
Световой поток с учетом потерь на OPAL: "&amp;ROUND((E17*$E$6)-((E17*$E$6)*$E$2/100),0)&amp;" Лм. (5000К)
Количество светодиодов: "&amp;E17&amp;" шт.
Габаритные размеры (ДхШхВ): 2030х66х70 мм.
Масса: 3,6 кг"</f>
        <v>Потребление: от сети - 115 Вт.
Световой поток: 18800 Лм. (5000К)
Световой поток с учетом потерь на рассеивателе: 15006 Лм. (5000К)
Световой поток с учетом потерь на OPAL: 10325 Лм. (5000К)
Количество светодиодов: 200 шт.
Габаритные размеры (ДхШхВ): 2030х66х70 мм.
Масса: 3,6 кг</v>
      </c>
      <c r="D17" s="30">
        <v>14060</v>
      </c>
      <c r="E17" s="62">
        <v>200</v>
      </c>
    </row>
    <row r="18" spans="1:5" ht="91.5" thickBot="1" x14ac:dyDescent="0.4">
      <c r="A18" s="17">
        <v>11</v>
      </c>
      <c r="B18" s="20" t="s">
        <v>210</v>
      </c>
      <c r="C18" s="19" t="str">
        <f>"Потребление: от сети - 125 Вт.
Световой поток: "&amp;E18*$E$6&amp;" Лм. (5000К)
Световой поток с учетом потерь на рассеивателе: "&amp;ROUND((E18*$E$6)-((E18*$E$6)*$E$4/100),0)&amp;" Лм. (5000К)
Световой поток с учетом потерь на OPAL: "&amp;ROUND((E18*$E$6)-((E18*$E$6)*$E$2/100),0)&amp;" Лм. (5000К)
Количество светодиодов: "&amp;E18&amp;" шт.
Габаритные размеры (ДхШхВ): 2030х66х70 мм.
Масса: 3,6 кг"</f>
        <v>Потребление: от сети - 125 Вт.
Световой поток: 20680 Лм. (5000К)
Световой поток с учетом потерь на рассеивателе: 16507 Лм. (5000К)
Световой поток с учетом потерь на OPAL: 11357 Лм. (5000К)
Количество светодиодов: 220 шт.
Габаритные размеры (ДхШхВ): 2030х66х70 мм.
Масса: 3,6 кг</v>
      </c>
      <c r="D18" s="30">
        <v>15180</v>
      </c>
      <c r="E18" s="62">
        <v>220</v>
      </c>
    </row>
    <row r="19" spans="1:5" ht="91.5" thickBot="1" x14ac:dyDescent="0.4">
      <c r="A19" s="17">
        <v>12</v>
      </c>
      <c r="B19" s="20" t="s">
        <v>211</v>
      </c>
      <c r="C19" s="19" t="str">
        <f>"Потребление: от сети - 140 Вт.
Световой поток: "&amp;E19*$E$6&amp;" Лм. (5000К)
Световой поток с учетом потерь на рассеивателе: "&amp;ROUND((E19*$E$6)-((E19*$E$6)*$E$4/100),0)&amp;" Лм. (5000К)
Световой поток с учетом потерь на OPAL: "&amp;ROUND((E19*$E$6)-((E19*$E$6)*$E$2/100),0)&amp;" Лм. (5000К)
Количество светодиодов: "&amp;E19&amp;" шт.
Габаритные размеры (ДхШхВ): 2430х66х70 мм.
Масса: 4,3 кг"</f>
        <v>Потребление: от сети - 140 Вт.
Световой поток: 22560 Лм. (5000К)
Световой поток с учетом потерь на рассеивателе: 18007 Лм. (5000К)
Световой поток с учетом потерь на OPAL: 12390 Лм. (5000К)
Количество светодиодов: 240 шт.
Габаритные размеры (ДхШхВ): 2430х66х70 мм.
Масса: 4,3 кг</v>
      </c>
      <c r="D19" s="30">
        <v>16310</v>
      </c>
      <c r="E19" s="62">
        <v>240</v>
      </c>
    </row>
  </sheetData>
  <mergeCells count="5">
    <mergeCell ref="A6:D6"/>
    <mergeCell ref="A3:D3"/>
    <mergeCell ref="A4:D4"/>
    <mergeCell ref="A5:D5"/>
    <mergeCell ref="C1:F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9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  <pageSetUpPr fitToPage="1"/>
  </sheetPr>
  <dimension ref="A1:F26"/>
  <sheetViews>
    <sheetView zoomScale="70" zoomScaleNormal="70" zoomScaleSheetLayoutView="120" workbookViewId="0">
      <selection activeCell="C1" sqref="C1:F1"/>
    </sheetView>
  </sheetViews>
  <sheetFormatPr defaultColWidth="9.1796875" defaultRowHeight="23.5" x14ac:dyDescent="0.35"/>
  <cols>
    <col min="1" max="1" width="5.7265625" style="3" customWidth="1"/>
    <col min="2" max="2" width="18.7265625" style="4" customWidth="1"/>
    <col min="3" max="3" width="69.26953125" style="6" customWidth="1"/>
    <col min="4" max="4" width="22.90625" style="5" customWidth="1"/>
    <col min="5" max="5" width="17.453125" style="59" hidden="1" customWidth="1"/>
    <col min="6" max="16384" width="9.1796875" style="3"/>
  </cols>
  <sheetData>
    <row r="1" spans="1:6" s="7" customFormat="1" ht="99" customHeight="1" thickBot="1" x14ac:dyDescent="0.4">
      <c r="C1" s="86" t="s">
        <v>296</v>
      </c>
      <c r="D1" s="86"/>
      <c r="E1" s="86"/>
      <c r="F1" s="86"/>
    </row>
    <row r="2" spans="1:6" s="7" customFormat="1" ht="15" thickBot="1" x14ac:dyDescent="0.4">
      <c r="A2" s="104" t="s">
        <v>212</v>
      </c>
      <c r="B2" s="105"/>
      <c r="C2" s="105"/>
      <c r="D2" s="105"/>
      <c r="E2" s="53" t="s">
        <v>45</v>
      </c>
    </row>
    <row r="3" spans="1:6" s="7" customFormat="1" ht="107.25" customHeight="1" thickBot="1" x14ac:dyDescent="0.4">
      <c r="A3" s="114"/>
      <c r="B3" s="115"/>
      <c r="C3" s="115"/>
      <c r="D3" s="115"/>
      <c r="E3" s="54">
        <v>6.96</v>
      </c>
    </row>
    <row r="4" spans="1:6" s="7" customFormat="1" ht="15" thickBot="1" x14ac:dyDescent="0.4">
      <c r="A4" s="116" t="s">
        <v>13</v>
      </c>
      <c r="B4" s="117"/>
      <c r="C4" s="117"/>
      <c r="D4" s="117"/>
      <c r="E4" s="55" t="s">
        <v>46</v>
      </c>
    </row>
    <row r="5" spans="1:6" s="7" customFormat="1" ht="54" customHeight="1" thickBot="1" x14ac:dyDescent="0.4">
      <c r="A5" s="118" t="s">
        <v>64</v>
      </c>
      <c r="B5" s="119"/>
      <c r="C5" s="120"/>
      <c r="D5" s="120"/>
      <c r="E5" s="56">
        <v>94</v>
      </c>
    </row>
    <row r="6" spans="1:6" s="7" customFormat="1" ht="40.5" customHeight="1" thickBot="1" x14ac:dyDescent="0.4">
      <c r="A6" s="34" t="s">
        <v>11</v>
      </c>
      <c r="B6" s="35" t="s">
        <v>15</v>
      </c>
      <c r="C6" s="35" t="s">
        <v>12</v>
      </c>
      <c r="D6" s="36" t="s">
        <v>37</v>
      </c>
      <c r="E6" s="57" t="s">
        <v>47</v>
      </c>
    </row>
    <row r="7" spans="1:6" s="7" customFormat="1" ht="81" customHeight="1" thickBot="1" x14ac:dyDescent="0.4">
      <c r="A7" s="27">
        <v>1</v>
      </c>
      <c r="B7" s="32" t="s">
        <v>213</v>
      </c>
      <c r="C7" s="29" t="str">
        <f>"Потребление: от сети - 7 Вт.
Световой поток: "&amp;E7*$E$5&amp;" Лм. (5000К)
Световой поток с учетом потерь на оптике: "&amp;ROUND((E7*$E$5)-((E7*$E$5)*$E$3/100),0)&amp;" Лм. (5000К)
Количество светодиодов: "&amp;E7&amp;" шт.
Габаритные размеры (ДхШхВ): 480х55х50 мм.
Масса: 0,5 кг"</f>
        <v>Потребление: от сети - 7 Вт.
Световой поток: 1128 Лм. (5000К)
Световой поток с учетом потерь на оптике: 1049 Лм. (5000К)
Количество светодиодов: 12 шт.
Габаритные размеры (ДхШхВ): 480х55х50 мм.
Масса: 0,5 кг</v>
      </c>
      <c r="D7" s="30">
        <v>2610</v>
      </c>
      <c r="E7" s="58">
        <v>12</v>
      </c>
    </row>
    <row r="8" spans="1:6" s="7" customFormat="1" ht="81" customHeight="1" thickBot="1" x14ac:dyDescent="0.4">
      <c r="A8" s="13">
        <v>2</v>
      </c>
      <c r="B8" s="16" t="s">
        <v>214</v>
      </c>
      <c r="C8" s="15" t="str">
        <f>"Потребление: от сети - 7 Вт.
Световой поток: "&amp;E8*$E$5&amp;" Лм. (5000К)
Световой поток с учетом потерь на оптике: "&amp;ROUND((E8*$E$5)-((E8*$E$5)*$E$3/100),0)&amp;" Лм. (5000К)
Количество светодиодов: "&amp;E8&amp;" шт.
Габаритные размеры (ДхШхВ): 940х55х50 мм.
Масса: 0,8 кг"</f>
        <v>Потребление: от сети - 7 Вт.
Световой поток: 1128 Лм. (5000К)
Световой поток с учетом потерь на оптике: 1049 Лм. (5000К)
Количество светодиодов: 12 шт.
Габаритные размеры (ДхШхВ): 940х55х50 мм.
Масса: 0,8 кг</v>
      </c>
      <c r="D8" s="30">
        <v>3340</v>
      </c>
      <c r="E8" s="58">
        <v>12</v>
      </c>
    </row>
    <row r="9" spans="1:6" s="7" customFormat="1" ht="81" customHeight="1" thickBot="1" x14ac:dyDescent="0.4">
      <c r="A9" s="13">
        <v>3</v>
      </c>
      <c r="B9" s="16" t="s">
        <v>215</v>
      </c>
      <c r="C9" s="15" t="str">
        <f>"Потребление: от сети - 10 Вт.
Световой поток: "&amp;E9*$E$5&amp;" Лм. (5000К)
Световой поток с учетом потерь на оптике: "&amp;ROUND((E9*$E$5)-((E9*$E$5)*$E$3/100),0)&amp;" Лм. (5000К)
Количество светодиодов: "&amp;E9&amp;" шт.
Габаритные размеры (ДхШхВ): 1120х55х50 мм.
Масса: 1,5 кг"</f>
        <v>Потребление: от сети - 10 Вт.
Световой поток: 1504 Лм. (5000К)
Световой поток с учетом потерь на оптике: 1399 Лм. (5000К)
Количество светодиодов: 16 шт.
Габаритные размеры (ДхШхВ): 1120х55х50 мм.
Масса: 1,5 кг</v>
      </c>
      <c r="D9" s="30">
        <v>4170</v>
      </c>
      <c r="E9" s="58">
        <v>16</v>
      </c>
    </row>
    <row r="10" spans="1:6" s="7" customFormat="1" ht="81" customHeight="1" thickBot="1" x14ac:dyDescent="0.4">
      <c r="A10" s="13">
        <v>4</v>
      </c>
      <c r="B10" s="16" t="s">
        <v>216</v>
      </c>
      <c r="C10" s="15" t="str">
        <f>"Потребление: от сети - 10 Вт.
Световой поток: "&amp;E10*$E$5&amp;" Лм. (5000К)
Световой поток с учетом потерь на оптике: "&amp;ROUND((E10*$E$5)-((E10*$E$5)*$E$3/100),0)&amp;" Лм. (5000К)
Количество светодиодов: "&amp;E10&amp;" шт.
Габаритные размеры (ДхШхВ): 570х55х50 мм.
Масса: 0,5 кг"</f>
        <v>Потребление: от сети - 10 Вт.
Световой поток: 1504 Лм. (5000К)
Световой поток с учетом потерь на оптике: 1399 Лм. (5000К)
Количество светодиодов: 16 шт.
Габаритные размеры (ДхШхВ): 570х55х50 мм.
Масса: 0,5 кг</v>
      </c>
      <c r="D10" s="30">
        <v>2930</v>
      </c>
      <c r="E10" s="58">
        <v>16</v>
      </c>
    </row>
    <row r="11" spans="1:6" s="7" customFormat="1" ht="81" customHeight="1" thickBot="1" x14ac:dyDescent="0.4">
      <c r="A11" s="13">
        <v>5</v>
      </c>
      <c r="B11" s="16" t="s">
        <v>217</v>
      </c>
      <c r="C11" s="15" t="str">
        <f>"Потребление: от сети - 12 Вт.
Световой поток: "&amp;E11*$E$5&amp;" Лм. (5000К)
Световой поток с учетом потерь на оптике: "&amp;ROUND((E11*$E$5)-((E11*$E$5)*$E$3/100),0)&amp;" Лм. (5000К)
Количество светодиодов: "&amp;E11&amp;" шт.
Габаритные размеры (ДхШхВ): 220х55х50 мм.
Масса: 0,5 кг"</f>
        <v>Потребление: от сети - 12 Вт.
Световой поток: 1880 Лм. (5000К)
Световой поток с учетом потерь на оптике: 1749 Лм. (5000К)
Количество светодиодов: 20 шт.
Габаритные размеры (ДхШхВ): 220х55х50 мм.
Масса: 0,5 кг</v>
      </c>
      <c r="D11" s="30">
        <v>2610</v>
      </c>
      <c r="E11" s="58">
        <v>20</v>
      </c>
    </row>
    <row r="12" spans="1:6" s="7" customFormat="1" ht="81" customHeight="1" thickBot="1" x14ac:dyDescent="0.4">
      <c r="A12" s="13">
        <v>6</v>
      </c>
      <c r="B12" s="16" t="s">
        <v>218</v>
      </c>
      <c r="C12" s="15" t="str">
        <f>"Потребление: от сети - 15 Вт.
Световой поток: "&amp;E12*$E$5&amp;" Лм. (5000К)
Световой поток с учетом потерь на оптике: "&amp;ROUND((E12*$E$5)-((E12*$E$5)*$E$3/100),0)&amp;" Лм. (5000К)
Количество светодиодов: "&amp;E12&amp;" шт.
Габаритные размеры (ДхШхВ): 480х55х50 мм.
Масса: 0,7 кг"</f>
        <v>Потребление: от сети - 15 Вт.
Световой поток: 2256 Лм. (5000К)
Световой поток с учетом потерь на оптике: 2099 Лм. (5000К)
Количество светодиодов: 24 шт.
Габаритные размеры (ДхШхВ): 480х55х50 мм.
Масса: 0,7 кг</v>
      </c>
      <c r="D12" s="30">
        <v>3120</v>
      </c>
      <c r="E12" s="58">
        <v>24</v>
      </c>
    </row>
    <row r="13" spans="1:6" s="7" customFormat="1" ht="81" customHeight="1" thickBot="1" x14ac:dyDescent="0.4">
      <c r="A13" s="13">
        <v>7</v>
      </c>
      <c r="B13" s="16" t="s">
        <v>219</v>
      </c>
      <c r="C13" s="15" t="str">
        <f>"Потребление: от сети - 15 Вт.
Световой поток: "&amp;E13*$E$5&amp;" Лм. (5000К)
Световой поток с учетом потерь на оптике: "&amp;ROUND((E13*$E$5)-((E13*$E$5)*$E$3/100),0)&amp;" Лм. (5000К)
Количество светодиодов: "&amp;E13&amp;" шт.
Габаритные размеры (ДхШхВ): 940х55х50 мм.
Масса: 1 кг"</f>
        <v>Потребление: от сети - 15 Вт.
Световой поток: 2256 Лм. (5000К)
Световой поток с учетом потерь на оптике: 2099 Лм. (5000К)
Количество светодиодов: 24 шт.
Габаритные размеры (ДхШхВ): 940х55х50 мм.
Масса: 1 кг</v>
      </c>
      <c r="D13" s="30">
        <v>3550</v>
      </c>
      <c r="E13" s="58">
        <v>24</v>
      </c>
    </row>
    <row r="14" spans="1:6" s="7" customFormat="1" ht="81" customHeight="1" thickBot="1" x14ac:dyDescent="0.4">
      <c r="A14" s="13">
        <v>8</v>
      </c>
      <c r="B14" s="16" t="s">
        <v>220</v>
      </c>
      <c r="C14" s="15" t="str">
        <f>"Потребление: от сети - 18 Вт.
Световой поток: "&amp;E14*$E$5&amp;" Лм. (5000К)
Световой поток с учетом потерь на оптике: "&amp;ROUND((E14*$E$5)-((E14*$E$5)*$E$3/100),0)&amp;" Лм. (5000К)
Количество светодиодов: "&amp;E14&amp;" шт.
Габаритные размеры (ДхШхВ): 480х55х50 мм.
Масса: 0,8 кг"</f>
        <v>Потребление: от сети - 18 Вт.
Световой поток: 2632 Лм. (5000К)
Световой поток с учетом потерь на оптике: 2449 Лм. (5000К)
Количество светодиодов: 28 шт.
Габаритные размеры (ДхШхВ): 480х55х50 мм.
Масса: 0,8 кг</v>
      </c>
      <c r="D14" s="30">
        <v>3130</v>
      </c>
      <c r="E14" s="58">
        <v>28</v>
      </c>
    </row>
    <row r="15" spans="1:6" s="7" customFormat="1" ht="81" customHeight="1" thickBot="1" x14ac:dyDescent="0.4">
      <c r="A15" s="13">
        <v>9</v>
      </c>
      <c r="B15" s="16" t="s">
        <v>30</v>
      </c>
      <c r="C15" s="15" t="str">
        <f>"Потребление: от сети - 18 Вт.
Световой поток: "&amp;E15*$E$5&amp;" Лм. (5000К)
Световой поток с учетом потерь на оптике: "&amp;ROUND((E15*$E$5)-((E15*$E$5)*$E$3/100),0)&amp;" Лм. (5000К)
Количество светодиодов: "&amp;E15&amp;" шт.
Габаритные размеры (ДхШхВ): 940х55х50 мм.
Масса: 1 кг"</f>
        <v>Потребление: от сети - 18 Вт.
Световой поток: 2632 Лм. (5000К)
Световой поток с учетом потерь на оптике: 2449 Лм. (5000К)
Количество светодиодов: 28 шт.
Габаритные размеры (ДхШхВ): 940х55х50 мм.
Масса: 1 кг</v>
      </c>
      <c r="D15" s="30">
        <v>3540</v>
      </c>
      <c r="E15" s="58">
        <v>28</v>
      </c>
    </row>
    <row r="16" spans="1:6" s="7" customFormat="1" ht="81" customHeight="1" thickBot="1" x14ac:dyDescent="0.4">
      <c r="A16" s="13">
        <v>10</v>
      </c>
      <c r="B16" s="16" t="s">
        <v>221</v>
      </c>
      <c r="C16" s="15" t="str">
        <f>"Потребление: от сети - 20 Вт.
Световой поток: "&amp;E16*$E$5&amp;" Лм. (5000К)
Световой поток с учетом потерь на оптике: "&amp;ROUND((E16*$E$5)-((E16*$E$5)*$E$3/100),0)&amp;" Лм. (5000К)
Количество светодиодов: "&amp;E16&amp;" шт.
Габаритные размеры (ДхШхВ): 570х55х50 мм.
Масса: 0,8 кг"</f>
        <v>Потребление: от сети - 20 Вт.
Световой поток: 3008 Лм. (5000К)
Световой поток с учетом потерь на оптике: 2799 Лм. (5000К)
Количество светодиодов: 32 шт.
Габаритные размеры (ДхШхВ): 570х55х50 мм.
Масса: 0,8 кг</v>
      </c>
      <c r="D16" s="30">
        <v>4380</v>
      </c>
      <c r="E16" s="58">
        <v>32</v>
      </c>
    </row>
    <row r="17" spans="1:5" s="7" customFormat="1" ht="81" customHeight="1" thickBot="1" x14ac:dyDescent="0.4">
      <c r="A17" s="13">
        <v>11</v>
      </c>
      <c r="B17" s="16" t="s">
        <v>222</v>
      </c>
      <c r="C17" s="15" t="str">
        <f>"Потребление: от сети - 20 Вт.
Световой поток: "&amp;E17*$E$5&amp;" Лм. (5000К)
Световой поток с учетом потерь на оптике: "&amp;ROUND((E17*$E$5)-((E17*$E$5)*$E$3/100),0)&amp;" Лм. (5000К)
Количество светодиодов: "&amp;E17&amp;" шт.
Габаритные размеры (ДхШхВ): 1120х55х50 мм.
Масса: 1,2 кг"</f>
        <v>Потребление: от сети - 20 Вт.
Световой поток: 3008 Лм. (5000К)
Световой поток с учетом потерь на оптике: 2799 Лм. (5000К)
Количество светодиодов: 32 шт.
Габаритные размеры (ДхШхВ): 1120х55х50 мм.
Масса: 1,2 кг</v>
      </c>
      <c r="D17" s="30">
        <v>5200</v>
      </c>
      <c r="E17" s="58">
        <v>32</v>
      </c>
    </row>
    <row r="18" spans="1:5" s="7" customFormat="1" ht="81" customHeight="1" thickBot="1" x14ac:dyDescent="0.4">
      <c r="A18" s="13">
        <v>12</v>
      </c>
      <c r="B18" s="16" t="s">
        <v>223</v>
      </c>
      <c r="C18" s="15" t="str">
        <f>"Потребление: от сети - 22 Вт.
Световой поток: "&amp;E18*$E$5&amp;" Лм. (5000К)
Световой поток с учетом потерь на оптике: "&amp;ROUND((E18*$E$5)-((E18*$E$5)*$E$3/100),0)&amp;" Лм. (5000К)
Количество светодиодов: "&amp;E18&amp;" шт.
Габаритные размеры (ДхШхВ): 1400х55х50 мм.
Масса: 1,5 кг"</f>
        <v>Потребление: от сети - 22 Вт.
Световой поток: 3384 Лм. (5000К)
Световой поток с учетом потерь на оптике: 3148 Лм. (5000К)
Количество светодиодов: 36 шт.
Габаритные размеры (ДхШхВ): 1400х55х50 мм.
Масса: 1,5 кг</v>
      </c>
      <c r="D18" s="30">
        <v>5310</v>
      </c>
      <c r="E18" s="58">
        <v>36</v>
      </c>
    </row>
    <row r="19" spans="1:5" s="7" customFormat="1" ht="81" customHeight="1" thickBot="1" x14ac:dyDescent="0.4">
      <c r="A19" s="13">
        <v>13</v>
      </c>
      <c r="B19" s="16" t="s">
        <v>224</v>
      </c>
      <c r="C19" s="15" t="str">
        <f>"Потребление: от сети - 25 Вт.
Световой поток: "&amp;E19*$E$5&amp;" Лм. (5000К)
Световой поток с учетом потерь на оптике: "&amp;ROUND((E19*$E$5)-((E19*$E$5)*$E$3/100),0)&amp;" Лм. (5000К)
Количество светодиодов: "&amp;E19&amp;" шт.
Габаритные размеры (ДхШхВ): 1400х55х50 мм.
Масса: 1,5 кг"</f>
        <v>Потребление: от сети - 25 Вт.
Световой поток: 3948 Лм. (5000К)
Световой поток с учетом потерь на оптике: 3673 Лм. (5000К)
Количество светодиодов: 42 шт.
Габаритные размеры (ДхШхВ): 1400х55х50 мм.
Масса: 1,5 кг</v>
      </c>
      <c r="D19" s="30">
        <v>5310</v>
      </c>
      <c r="E19" s="58">
        <v>42</v>
      </c>
    </row>
    <row r="20" spans="1:5" s="7" customFormat="1" ht="81" customHeight="1" thickBot="1" x14ac:dyDescent="0.4">
      <c r="A20" s="13">
        <v>14</v>
      </c>
      <c r="B20" s="16" t="s">
        <v>225</v>
      </c>
      <c r="C20" s="15" t="str">
        <f>"Потребление: от сети - 30 Вт.
Световой поток: "&amp;E20*$E$5&amp;" Лм. (5000К)
Световой поток с учетом потерь на оптике: "&amp;ROUND((E20*$E$5)-((E20*$E$5)*$E$3/100),0)&amp;" Лм. (5000К)
Количество светодиодов: "&amp;E20&amp;" шт.
Габаритные размеры (ДхШхВ): 940х55х50 мм.
Масса: 1 кг"</f>
        <v>Потребление: от сети - 30 Вт.
Световой поток: 4512 Лм. (5000К)
Световой поток с учетом потерь на оптике: 4198 Лм. (5000К)
Количество светодиодов: 48 шт.
Габаритные размеры (ДхШхВ): 940х55х50 мм.
Масса: 1 кг</v>
      </c>
      <c r="D20" s="30">
        <v>4800</v>
      </c>
      <c r="E20" s="58">
        <v>48</v>
      </c>
    </row>
    <row r="21" spans="1:5" s="7" customFormat="1" ht="81" customHeight="1" thickBot="1" x14ac:dyDescent="0.4">
      <c r="A21" s="13">
        <v>15</v>
      </c>
      <c r="B21" s="16" t="s">
        <v>226</v>
      </c>
      <c r="C21" s="15" t="str">
        <f>"Потребление: от сети - 30 Вт.
Световой поток: "&amp;E21*$E$5&amp;" Лм. (5000К)
Световой поток с учетом потерь на оптике: "&amp;ROUND((E21*$E$5)-((E21*$E$5)*$E$3/100),0)&amp;" Лм. (5000К)
Количество светодиодов: "&amp;E21&amp;" шт.
Габаритные размеры (ДхШхВ): 1670х55х50 мм.
Масса: 1,8 кг"</f>
        <v>Потребление: от сети - 30 Вт.
Световой поток: 4512 Лм. (5000К)
Световой поток с учетом потерь на оптике: 4198 Лм. (5000К)
Количество светодиодов: 48 шт.
Габаритные размеры (ДхШхВ): 1670х55х50 мм.
Масса: 1,8 кг</v>
      </c>
      <c r="D21" s="30">
        <v>5840</v>
      </c>
      <c r="E21" s="58">
        <v>48</v>
      </c>
    </row>
    <row r="22" spans="1:5" s="7" customFormat="1" ht="81" customHeight="1" thickBot="1" x14ac:dyDescent="0.4">
      <c r="A22" s="13">
        <v>16</v>
      </c>
      <c r="B22" s="16" t="s">
        <v>227</v>
      </c>
      <c r="C22" s="15" t="str">
        <f>"Потребление: от сети - 35 Вт.
Световой поток: "&amp;E22*$E$5&amp;" Лм. (5000К)
Световой поток с учетом потерь на оптике: "&amp;ROUND((E22*$E$5)-((E22*$E$5)*$E$3/100),0)&amp;" Лм. (5000К)
Количество светодиодов: "&amp;E22&amp;" шт.
Габаритные размеры (ДхШхВ): 940х55х50 мм.
Масса: 1 кг"</f>
        <v>Потребление: от сети - 35 Вт.
Световой поток: 5264 Лм. (5000К)
Световой поток с учетом потерь на оптике: 4898 Лм. (5000К)
Количество светодиодов: 56 шт.
Габаритные размеры (ДхШхВ): 940х55х50 мм.
Масса: 1 кг</v>
      </c>
      <c r="D22" s="30">
        <v>5010</v>
      </c>
      <c r="E22" s="58">
        <v>56</v>
      </c>
    </row>
    <row r="23" spans="1:5" s="7" customFormat="1" ht="81" customHeight="1" thickBot="1" x14ac:dyDescent="0.4">
      <c r="A23" s="13">
        <v>17</v>
      </c>
      <c r="B23" s="16" t="s">
        <v>228</v>
      </c>
      <c r="C23" s="15" t="str">
        <f>"Потребление: от сети - 40 Вт.
Световой поток: "&amp;E23*$E$5&amp;" Лм. (5000К)
Световой поток с учетом потерь на оптике: "&amp;ROUND((E23*$E$5)-((E23*$E$5)*$E$3/100),0)&amp;" Лм. (5000К)
Количество светодиодов: "&amp;E23&amp;" шт.
Габаритные размеры (ДхШхВ): 1120х55х50 мм.
Масса: 1,2 кг"</f>
        <v>Потребление: от сети - 40 Вт.
Световой поток: 6016 Лм. (5000К)
Световой поток с учетом потерь на оптике: 5597 Лм. (5000К)
Количество светодиодов: 64 шт.
Габаритные размеры (ДхШхВ): 1120х55х50 мм.
Масса: 1,2 кг</v>
      </c>
      <c r="D23" s="30">
        <v>5840</v>
      </c>
      <c r="E23" s="58">
        <v>64</v>
      </c>
    </row>
    <row r="24" spans="1:5" s="7" customFormat="1" ht="81" customHeight="1" thickBot="1" x14ac:dyDescent="0.4">
      <c r="A24" s="13">
        <v>18</v>
      </c>
      <c r="B24" s="16" t="s">
        <v>229</v>
      </c>
      <c r="C24" s="15" t="str">
        <f>"Потребление: от сети - 45 Вт.
Световой поток: "&amp;E24*$E$5&amp;" Лм. (5000К)
Световой поток с учетом потерь на оптике: "&amp;ROUND((E24*$E$5)-((E24*$E$5)*$E$3/100),0)&amp;" Лм. (5000К)
Количество светодиодов: "&amp;E24&amp;" шт.
Габаритные размеры (ДхШхВ): 1400х55х50 мм.
Масса: 1,5 кг"</f>
        <v>Потребление: от сети - 45 Вт.
Световой поток: 6768 Лм. (5000К)
Световой поток с учетом потерь на оптике: 6297 Лм. (5000К)
Количество светодиодов: 72 шт.
Габаритные размеры (ДхШхВ): 1400х55х50 мм.
Масса: 1,5 кг</v>
      </c>
      <c r="D24" s="30">
        <v>4250</v>
      </c>
      <c r="E24" s="58">
        <v>72</v>
      </c>
    </row>
    <row r="25" spans="1:5" s="7" customFormat="1" ht="81" customHeight="1" thickBot="1" x14ac:dyDescent="0.4">
      <c r="A25" s="13">
        <v>19</v>
      </c>
      <c r="B25" s="16" t="s">
        <v>230</v>
      </c>
      <c r="C25" s="15" t="str">
        <f>"Потребление: от сети - 52 Вт.
Световой поток: "&amp;E25*$E$5&amp;" Лм. (5000К)
Световой поток с учетом потерь на оптике: "&amp;ROUND((E25*$E$5)-((E25*$E$5)*$E$3/100),0)&amp;" Лм. (5000К)
Количество светодиодов: "&amp;E25&amp;" шт.
Габаритные размеры (ДхШхВ): 1400х55х50 мм.
Масса: 1,5 кг"</f>
        <v>Потребление: от сети - 52 Вт.
Световой поток: 7896 Лм. (5000К)
Световой поток с учетом потерь на оптике: 7346 Лм. (5000К)
Количество светодиодов: 84 шт.
Габаритные размеры (ДхШхВ): 1400х55х50 мм.
Масса: 1,5 кг</v>
      </c>
      <c r="D25" s="30">
        <v>4670</v>
      </c>
      <c r="E25" s="58">
        <v>84</v>
      </c>
    </row>
    <row r="26" spans="1:5" s="7" customFormat="1" ht="81" customHeight="1" thickBot="1" x14ac:dyDescent="0.4">
      <c r="A26" s="17">
        <v>20</v>
      </c>
      <c r="B26" s="20" t="s">
        <v>231</v>
      </c>
      <c r="C26" s="19" t="str">
        <f>"Потребление: от сети - 60 Вт.
Световой поток: "&amp;E26*$E$5&amp;" Лм. (5000К)
Световой поток с учетом потерь на оптике: "&amp;ROUND((E26*$E$5)-((E26*$E$5)*$E$3/100),0)&amp;" Лм. (5000К)
Количество светодиодов: "&amp;E26&amp;" шт.
Габаритные размеры (ДхШхВ): 1670х55х50 мм.
Масса: 1,8 кг"</f>
        <v>Потребление: от сети - 60 Вт.
Световой поток: 9024 Лм. (5000К)
Световой поток с учетом потерь на оптике: 8396 Лм. (5000К)
Количество светодиодов: 96 шт.
Габаритные размеры (ДхШхВ): 1670х55х50 мм.
Масса: 1,8 кг</v>
      </c>
      <c r="D26" s="30">
        <v>7290</v>
      </c>
      <c r="E26" s="62">
        <v>96</v>
      </c>
    </row>
  </sheetData>
  <mergeCells count="5">
    <mergeCell ref="A2:D2"/>
    <mergeCell ref="A3:D3"/>
    <mergeCell ref="A4:D4"/>
    <mergeCell ref="A5:D5"/>
    <mergeCell ref="C1:F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83" fitToHeight="0" orientation="portrait" r:id="rId1"/>
  <rowBreaks count="1" manualBreakCount="1">
    <brk id="1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</vt:i4>
      </vt:variant>
    </vt:vector>
  </HeadingPairs>
  <TitlesOfParts>
    <vt:vector size="17" baseType="lpstr">
      <vt:lpstr>СОДЕРЖАНИЕ</vt:lpstr>
      <vt:lpstr>КРЕПЛЕНИЯ</vt:lpstr>
      <vt:lpstr>Уличные</vt:lpstr>
      <vt:lpstr>Уличные (оптика)</vt:lpstr>
      <vt:lpstr>Промышленные</vt:lpstr>
      <vt:lpstr>Промышленные (оптика)</vt:lpstr>
      <vt:lpstr>Линейные LINER</vt:lpstr>
      <vt:lpstr>Линейные ORBIT</vt:lpstr>
      <vt:lpstr>Линейные SPIRE-R</vt:lpstr>
      <vt:lpstr>Линейные уличные SPIRE-S</vt:lpstr>
      <vt:lpstr>Офисные IP20 и IP54</vt:lpstr>
      <vt:lpstr>Низковольтные</vt:lpstr>
      <vt:lpstr>АЗС</vt:lpstr>
      <vt:lpstr>Светильники общего освещения</vt:lpstr>
      <vt:lpstr>Фитосветильники</vt:lpstr>
      <vt:lpstr>СОДЕРЖАНИЕ!Print_Area</vt:lpstr>
      <vt:lpstr>СОДЕРЖАНИЕ!Область_печати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2020-10-07T11:32:11Z</dcterms:modified>
</cp:coreProperties>
</file>